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24226"/>
  <mc:AlternateContent xmlns:mc="http://schemas.openxmlformats.org/markup-compatibility/2006">
    <mc:Choice Requires="x15">
      <x15ac:absPath xmlns:x15ac="http://schemas.microsoft.com/office/spreadsheetml/2010/11/ac" url="\\DOMAINSERVER\Documentos\mpotes\Mis documentos\Equipo Antiguo Monica\Control Interno\AUDITORIAS\2024\"/>
    </mc:Choice>
  </mc:AlternateContent>
  <xr:revisionPtr revIDLastSave="0" documentId="8_{3DC823C5-1473-4BD8-B522-15D52A949045}" xr6:coauthVersionLast="47" xr6:coauthVersionMax="47" xr10:uidLastSave="{00000000-0000-0000-0000-000000000000}"/>
  <bookViews>
    <workbookView xWindow="-120" yWindow="-120" windowWidth="29040" windowHeight="1572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r:id="rId8"/>
    <sheet name="Hoja1" sheetId="11" r:id="rId9"/>
  </sheet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10" i="1"/>
  <c r="L14" i="1"/>
  <c r="M20" i="1" s="1"/>
  <c r="K20" i="1"/>
  <c r="T10" i="1"/>
  <c r="Q10" i="1"/>
  <c r="H10" i="1"/>
  <c r="I10" i="1" s="1"/>
  <c r="K52" i="1"/>
  <c r="K49" i="1"/>
  <c r="K47" i="1"/>
  <c r="K23" i="1"/>
  <c r="K59" i="1"/>
  <c r="K15" i="1"/>
  <c r="K21" i="1"/>
  <c r="K39" i="1"/>
  <c r="K50" i="1"/>
  <c r="K44" i="1"/>
  <c r="K22" i="1"/>
  <c r="K28" i="1"/>
  <c r="K38" i="1"/>
  <c r="K25" i="1"/>
  <c r="K53" i="1"/>
  <c r="K37" i="1"/>
  <c r="K46" i="1"/>
  <c r="K29" i="1"/>
  <c r="K55" i="1"/>
  <c r="K40" i="1"/>
  <c r="K56" i="1"/>
  <c r="K27" i="1"/>
  <c r="K31" i="1"/>
  <c r="K17" i="1"/>
  <c r="K45" i="1"/>
  <c r="K16" i="1"/>
  <c r="K32" i="1"/>
  <c r="K26" i="1"/>
  <c r="K57" i="1"/>
  <c r="K19" i="1"/>
  <c r="K58" i="1"/>
  <c r="K43" i="1"/>
  <c r="K33" i="1"/>
  <c r="K41" i="1"/>
  <c r="K51" i="1"/>
  <c r="K34" i="1"/>
  <c r="K35" i="1"/>
  <c r="N18" i="1" l="1"/>
  <c r="N20" i="1"/>
  <c r="N10" i="1"/>
  <c r="M10" i="1"/>
  <c r="F221" i="13"/>
  <c r="F211" i="13"/>
  <c r="F212" i="13"/>
  <c r="F213" i="13"/>
  <c r="F214" i="13"/>
  <c r="F215" i="13"/>
  <c r="F216" i="13"/>
  <c r="F217" i="13"/>
  <c r="F218" i="13"/>
  <c r="F219" i="13"/>
  <c r="F220" i="13"/>
  <c r="F210" i="13"/>
  <c r="K11" i="1"/>
  <c r="K12" i="1"/>
  <c r="B221" i="13" a="1"/>
  <c r="K13" i="1"/>
  <c r="B221" i="13" l="1"/>
  <c r="Q42" i="1"/>
  <c r="Q37" i="1"/>
  <c r="Q3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9" i="1" l="1"/>
  <c r="Q59" i="1"/>
  <c r="T58" i="1"/>
  <c r="Q58" i="1"/>
  <c r="T57" i="1"/>
  <c r="Q57" i="1"/>
  <c r="T56" i="1"/>
  <c r="Q56" i="1"/>
  <c r="T55" i="1"/>
  <c r="Q55" i="1"/>
  <c r="T54" i="1"/>
  <c r="Q54" i="1"/>
  <c r="H54" i="1"/>
  <c r="I54" i="1" s="1"/>
  <c r="T53" i="1"/>
  <c r="Q53" i="1"/>
  <c r="T52" i="1"/>
  <c r="Q52" i="1"/>
  <c r="T51" i="1"/>
  <c r="Q51" i="1"/>
  <c r="T50" i="1"/>
  <c r="Q50" i="1"/>
  <c r="T49" i="1"/>
  <c r="Q49" i="1"/>
  <c r="T48" i="1"/>
  <c r="Q48" i="1"/>
  <c r="H48" i="1"/>
  <c r="I48" i="1" s="1"/>
  <c r="T47" i="1"/>
  <c r="Q47" i="1"/>
  <c r="T46" i="1"/>
  <c r="Q46" i="1"/>
  <c r="T45" i="1"/>
  <c r="Q45" i="1"/>
  <c r="T44" i="1"/>
  <c r="Q44" i="1"/>
  <c r="T43" i="1"/>
  <c r="Q43" i="1"/>
  <c r="AB43" i="1" s="1"/>
  <c r="T42" i="1"/>
  <c r="H42" i="1"/>
  <c r="I42" i="1" s="1"/>
  <c r="T41" i="1"/>
  <c r="Q41" i="1"/>
  <c r="T40" i="1"/>
  <c r="Q40" i="1"/>
  <c r="T39" i="1"/>
  <c r="Q39" i="1"/>
  <c r="T38" i="1"/>
  <c r="Q38" i="1"/>
  <c r="T37" i="1"/>
  <c r="T36" i="1"/>
  <c r="Q36" i="1"/>
  <c r="AB37" i="1" s="1"/>
  <c r="H36" i="1"/>
  <c r="I36" i="1" s="1"/>
  <c r="T35" i="1"/>
  <c r="Q35" i="1"/>
  <c r="T34" i="1"/>
  <c r="Q34" i="1"/>
  <c r="T33" i="1"/>
  <c r="Q33" i="1"/>
  <c r="T32" i="1"/>
  <c r="Q32" i="1"/>
  <c r="T31" i="1"/>
  <c r="T30" i="1"/>
  <c r="Q30" i="1"/>
  <c r="AB31" i="1" s="1"/>
  <c r="H30" i="1"/>
  <c r="I30" i="1" s="1"/>
  <c r="T29" i="1"/>
  <c r="Q29" i="1"/>
  <c r="T28" i="1"/>
  <c r="Q28" i="1"/>
  <c r="T27" i="1"/>
  <c r="Q27" i="1"/>
  <c r="T26" i="1"/>
  <c r="Q26" i="1"/>
  <c r="T25" i="1"/>
  <c r="Q25" i="1"/>
  <c r="T24" i="1"/>
  <c r="Q24" i="1"/>
  <c r="H24" i="1"/>
  <c r="I24" i="1" s="1"/>
  <c r="T23" i="1"/>
  <c r="Q23" i="1"/>
  <c r="T22" i="1"/>
  <c r="Q22" i="1"/>
  <c r="T21" i="1"/>
  <c r="Q21" i="1"/>
  <c r="T20" i="1"/>
  <c r="Q20" i="1"/>
  <c r="H20" i="1"/>
  <c r="T19" i="1"/>
  <c r="Q19" i="1"/>
  <c r="T18" i="1"/>
  <c r="Q18" i="1"/>
  <c r="H18" i="1"/>
  <c r="I18" i="1" s="1"/>
  <c r="H14" i="1"/>
  <c r="Q13" i="1"/>
  <c r="T17" i="1"/>
  <c r="Q17" i="1"/>
  <c r="T16" i="1"/>
  <c r="Q16" i="1"/>
  <c r="T15" i="1"/>
  <c r="Q15" i="1"/>
  <c r="T14" i="1"/>
  <c r="Q14" i="1"/>
  <c r="I20" i="1" l="1"/>
  <c r="AB55" i="1"/>
  <c r="AB25" i="1"/>
  <c r="AB49" i="1"/>
  <c r="AB40" i="1"/>
  <c r="AA40" i="1" s="1"/>
  <c r="AB41" i="1"/>
  <c r="AA41" i="1" s="1"/>
  <c r="I14" i="1"/>
  <c r="X14" i="1" s="1"/>
  <c r="X54" i="1"/>
  <c r="X48" i="1"/>
  <c r="X42" i="1"/>
  <c r="X36" i="1"/>
  <c r="X40" i="1"/>
  <c r="X41" i="1"/>
  <c r="X30" i="1"/>
  <c r="X24" i="1"/>
  <c r="X20" i="1"/>
  <c r="X18" i="1"/>
  <c r="Y54" i="1" l="1"/>
  <c r="Z54" i="1"/>
  <c r="X55" i="1" s="1"/>
  <c r="Y55" i="1" s="1"/>
  <c r="Y48" i="1"/>
  <c r="Z48" i="1"/>
  <c r="X49" i="1" s="1"/>
  <c r="Z49" i="1" s="1"/>
  <c r="X50" i="1" s="1"/>
  <c r="Y42" i="1"/>
  <c r="Z42" i="1"/>
  <c r="X43" i="1" s="1"/>
  <c r="Z43" i="1" s="1"/>
  <c r="X44" i="1" s="1"/>
  <c r="Y41" i="1"/>
  <c r="Z41" i="1"/>
  <c r="Y40" i="1"/>
  <c r="Z40" i="1"/>
  <c r="Y36" i="1"/>
  <c r="Z36" i="1"/>
  <c r="Y30" i="1"/>
  <c r="Z30" i="1"/>
  <c r="X31" i="1" s="1"/>
  <c r="Z31" i="1" s="1"/>
  <c r="X32" i="1" s="1"/>
  <c r="Y24" i="1"/>
  <c r="Z24" i="1"/>
  <c r="Y20" i="1"/>
  <c r="Z20" i="1"/>
  <c r="X21" i="1" s="1"/>
  <c r="Z21" i="1" s="1"/>
  <c r="X22" i="1" s="1"/>
  <c r="Y22" i="1" s="1"/>
  <c r="Y18" i="1"/>
  <c r="Z18" i="1"/>
  <c r="X19" i="1" s="1"/>
  <c r="Y19" i="1" s="1"/>
  <c r="Y14" i="1"/>
  <c r="Z14" i="1"/>
  <c r="X15" i="1" s="1"/>
  <c r="Y49" i="1" l="1"/>
  <c r="Y43" i="1"/>
  <c r="Z19" i="1"/>
  <c r="Y31" i="1"/>
  <c r="Y21" i="1"/>
  <c r="Y32" i="1"/>
  <c r="Z32" i="1"/>
  <c r="Z50" i="1"/>
  <c r="X51" i="1" s="1"/>
  <c r="Y50" i="1"/>
  <c r="Z44" i="1"/>
  <c r="X45" i="1" s="1"/>
  <c r="Y44" i="1"/>
  <c r="Z55" i="1"/>
  <c r="X56" i="1" s="1"/>
  <c r="X25" i="1"/>
  <c r="X37" i="1"/>
  <c r="X38" i="1"/>
  <c r="Z2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0" i="1"/>
  <c r="AC41" i="1"/>
  <c r="T11" i="1"/>
  <c r="T12" i="1"/>
  <c r="T13" i="1"/>
  <c r="Y51" i="1" l="1"/>
  <c r="Z51" i="1"/>
  <c r="Y45" i="1"/>
  <c r="Z45" i="1"/>
  <c r="X46" i="1" s="1"/>
  <c r="Y38" i="1"/>
  <c r="Z38" i="1"/>
  <c r="X39" i="1" s="1"/>
  <c r="Y56" i="1"/>
  <c r="Z56" i="1"/>
  <c r="X57" i="1" s="1"/>
  <c r="Y37" i="1"/>
  <c r="Z37" i="1"/>
  <c r="X33" i="1"/>
  <c r="Y25" i="1"/>
  <c r="Z25" i="1"/>
  <c r="X26" i="1" s="1"/>
  <c r="Y26" i="1" s="1"/>
  <c r="X23" i="1"/>
  <c r="Y15" i="1"/>
  <c r="Z15" i="1"/>
  <c r="X16" i="1" s="1"/>
  <c r="Y16" i="1" s="1"/>
  <c r="Z26" i="1" l="1"/>
  <c r="X27" i="1" s="1"/>
  <c r="Z27" i="1" s="1"/>
  <c r="X28" i="1" s="1"/>
  <c r="Y46" i="1"/>
  <c r="Z46" i="1"/>
  <c r="X47" i="1" s="1"/>
  <c r="X52" i="1"/>
  <c r="X53" i="1"/>
  <c r="Y33" i="1"/>
  <c r="Z33" i="1"/>
  <c r="X34" i="1" s="1"/>
  <c r="Y34" i="1" s="1"/>
  <c r="Y39" i="1"/>
  <c r="Z39" i="1"/>
  <c r="Z57" i="1"/>
  <c r="Y57" i="1"/>
  <c r="Y23" i="1"/>
  <c r="Z23" i="1"/>
  <c r="Z16" i="1"/>
  <c r="X17" i="1" s="1"/>
  <c r="Y17" i="1" s="1"/>
  <c r="Q12" i="1"/>
  <c r="Y27" i="1" l="1"/>
  <c r="Y53" i="1"/>
  <c r="Z53" i="1"/>
  <c r="Y52" i="1"/>
  <c r="Z52" i="1"/>
  <c r="Y47" i="1"/>
  <c r="Z47" i="1"/>
  <c r="X58" i="1"/>
  <c r="X59" i="1"/>
  <c r="Z34" i="1"/>
  <c r="X35" i="1" s="1"/>
  <c r="Y35" i="1" s="1"/>
  <c r="Z28" i="1"/>
  <c r="X29" i="1" s="1"/>
  <c r="Y28" i="1"/>
  <c r="Z17" i="1"/>
  <c r="X10" i="1"/>
  <c r="Y10" i="1" s="1"/>
  <c r="Y59" i="1" l="1"/>
  <c r="Z59" i="1"/>
  <c r="Y58" i="1"/>
  <c r="Z58" i="1"/>
  <c r="Y29" i="1"/>
  <c r="Z29" i="1"/>
  <c r="Z35" i="1"/>
  <c r="Q11" i="1"/>
  <c r="Z10" i="1" l="1"/>
  <c r="X11" i="1" s="1"/>
  <c r="Y11" i="1" l="1"/>
  <c r="Z11" i="1" l="1"/>
  <c r="X12" i="1" s="1"/>
  <c r="Y12" i="1" s="1"/>
  <c r="Z12" i="1" l="1"/>
  <c r="X13" i="1" s="1"/>
  <c r="Z13" i="1" l="1"/>
  <c r="Y13" i="1" l="1"/>
  <c r="AB56" i="1" l="1"/>
  <c r="AB48" i="1"/>
  <c r="AB30" i="1"/>
  <c r="AA30" i="1" s="1"/>
  <c r="AB42" i="1"/>
  <c r="AA42" i="1" s="1"/>
  <c r="AB36" i="1"/>
  <c r="AA36" i="1" s="1"/>
  <c r="AB24" i="1"/>
  <c r="AA24" i="1" s="1"/>
  <c r="J40" i="19" l="1"/>
  <c r="V30" i="19"/>
  <c r="AH20" i="19"/>
  <c r="J30" i="19"/>
  <c r="V20" i="19"/>
  <c r="AH10" i="19"/>
  <c r="P10" i="19"/>
  <c r="AB50" i="19"/>
  <c r="J50" i="19"/>
  <c r="AB40" i="19"/>
  <c r="P30" i="19"/>
  <c r="V50" i="19"/>
  <c r="P50" i="19"/>
  <c r="AB10" i="19"/>
  <c r="AH30" i="19"/>
  <c r="AH40" i="19"/>
  <c r="J10" i="19"/>
  <c r="AB20" i="19"/>
  <c r="AH50" i="19"/>
  <c r="AC24" i="1"/>
  <c r="V10" i="19"/>
  <c r="P20" i="19"/>
  <c r="J20" i="19"/>
  <c r="P40" i="19"/>
  <c r="V40" i="19"/>
  <c r="AB30" i="19"/>
  <c r="J11" i="19"/>
  <c r="V11" i="19"/>
  <c r="AB21" i="19"/>
  <c r="P31" i="19"/>
  <c r="J31" i="19"/>
  <c r="AB41" i="19"/>
  <c r="AC30" i="1"/>
  <c r="AH41" i="19"/>
  <c r="P41" i="19"/>
  <c r="J21" i="19"/>
  <c r="AB31" i="19"/>
  <c r="AB51" i="19"/>
  <c r="P21" i="19"/>
  <c r="V41" i="19"/>
  <c r="V31" i="19"/>
  <c r="AH21" i="19"/>
  <c r="AB11" i="19"/>
  <c r="P51" i="19"/>
  <c r="V21" i="19"/>
  <c r="AH31" i="19"/>
  <c r="V51" i="19"/>
  <c r="J51" i="19"/>
  <c r="AH51" i="19"/>
  <c r="AH11" i="19"/>
  <c r="J41" i="19"/>
  <c r="P11" i="19"/>
  <c r="AC4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8" i="1"/>
  <c r="AA55" i="1"/>
  <c r="AA56" i="1"/>
  <c r="AB57" i="1"/>
  <c r="AB26" i="1"/>
  <c r="AA25" i="1"/>
  <c r="AA31" i="1"/>
  <c r="AB32" i="1"/>
  <c r="AA32" i="1" s="1"/>
  <c r="AB33" i="1"/>
  <c r="V32" i="19"/>
  <c r="P42" i="19"/>
  <c r="J12" i="19"/>
  <c r="J32" i="19"/>
  <c r="AB52" i="19"/>
  <c r="AC36" i="1"/>
  <c r="J22" i="19"/>
  <c r="V22" i="19"/>
  <c r="J52" i="19"/>
  <c r="AH12" i="19"/>
  <c r="J42" i="19"/>
  <c r="AH42" i="19"/>
  <c r="P32" i="19"/>
  <c r="AB12" i="19"/>
  <c r="AH32" i="19"/>
  <c r="AB32" i="19"/>
  <c r="AB42" i="19"/>
  <c r="V42" i="19"/>
  <c r="V12" i="19"/>
  <c r="V52" i="19"/>
  <c r="AB22" i="19"/>
  <c r="AH52" i="19"/>
  <c r="AH22" i="19"/>
  <c r="P22" i="19"/>
  <c r="P12" i="19"/>
  <c r="P52" i="19"/>
  <c r="AB38" i="1"/>
  <c r="AA38" i="1" s="1"/>
  <c r="AB39" i="1"/>
  <c r="AA39" i="1" s="1"/>
  <c r="AA37" i="1"/>
  <c r="AA43" i="1"/>
  <c r="AB44" i="1"/>
  <c r="AA49" i="1"/>
  <c r="AB50" i="1"/>
  <c r="AA57" i="1" l="1"/>
  <c r="AB58" i="1"/>
  <c r="K35" i="19"/>
  <c r="AC25" i="19"/>
  <c r="K45" i="19"/>
  <c r="AI45" i="19"/>
  <c r="W45" i="19"/>
  <c r="Q35" i="19"/>
  <c r="K55" i="19"/>
  <c r="AC15" i="19"/>
  <c r="Q15" i="19"/>
  <c r="AC35" i="19"/>
  <c r="AI35" i="19"/>
  <c r="Q55" i="19"/>
  <c r="AI25" i="19"/>
  <c r="AC5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31" i="1"/>
  <c r="AD55" i="19"/>
  <c r="R15" i="19"/>
  <c r="AJ35" i="19"/>
  <c r="AC5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8" i="1"/>
  <c r="AD12" i="19"/>
  <c r="AD32" i="19"/>
  <c r="AD22" i="19"/>
  <c r="X52" i="19"/>
  <c r="AD52" i="19"/>
  <c r="L42" i="19"/>
  <c r="R42" i="19"/>
  <c r="AJ21" i="19"/>
  <c r="AD31" i="19"/>
  <c r="R21" i="19"/>
  <c r="AD41" i="19"/>
  <c r="AJ11" i="19"/>
  <c r="AJ51" i="19"/>
  <c r="AC32" i="1"/>
  <c r="L41" i="19"/>
  <c r="AD11" i="19"/>
  <c r="L21" i="19"/>
  <c r="L11" i="19"/>
  <c r="X51" i="19"/>
  <c r="X21" i="19"/>
  <c r="R11" i="19"/>
  <c r="R31" i="19"/>
  <c r="AJ41" i="19"/>
  <c r="L31" i="19"/>
  <c r="R51" i="19"/>
  <c r="X31" i="19"/>
  <c r="X11" i="19"/>
  <c r="X41" i="19"/>
  <c r="AJ31" i="19"/>
  <c r="AD51" i="19"/>
  <c r="R41" i="19"/>
  <c r="AD21" i="19"/>
  <c r="L51" i="19"/>
  <c r="AA44" i="1"/>
  <c r="AB45" i="1"/>
  <c r="K42" i="19"/>
  <c r="AC32" i="19"/>
  <c r="W42" i="19"/>
  <c r="AI52" i="19"/>
  <c r="K22" i="19"/>
  <c r="Q32" i="19"/>
  <c r="AI12" i="19"/>
  <c r="AC52" i="19"/>
  <c r="Q42" i="19"/>
  <c r="AC42" i="19"/>
  <c r="K12" i="19"/>
  <c r="Q22" i="19"/>
  <c r="W52" i="19"/>
  <c r="AI42" i="19"/>
  <c r="W32" i="19"/>
  <c r="AI22" i="19"/>
  <c r="W12" i="19"/>
  <c r="AI32" i="19"/>
  <c r="AC12" i="19"/>
  <c r="Q12" i="19"/>
  <c r="Q52" i="19"/>
  <c r="AC37" i="1"/>
  <c r="K32" i="19"/>
  <c r="W22" i="19"/>
  <c r="K52" i="19"/>
  <c r="AC22" i="19"/>
  <c r="AC40" i="19"/>
  <c r="W10" i="19"/>
  <c r="AC50" i="19"/>
  <c r="Q10" i="19"/>
  <c r="Q30" i="19"/>
  <c r="W50" i="19"/>
  <c r="K40" i="19"/>
  <c r="Q50" i="19"/>
  <c r="W20" i="19"/>
  <c r="AC25" i="1"/>
  <c r="K10" i="19"/>
  <c r="Q40" i="19"/>
  <c r="K30" i="19"/>
  <c r="AI50" i="19"/>
  <c r="AI20" i="19"/>
  <c r="K50" i="19"/>
  <c r="AI40" i="19"/>
  <c r="W40" i="19"/>
  <c r="K20" i="19"/>
  <c r="AC10" i="19"/>
  <c r="AI10" i="19"/>
  <c r="AC20" i="19"/>
  <c r="AI30" i="19"/>
  <c r="AC30" i="19"/>
  <c r="W30" i="19"/>
  <c r="Q20" i="19"/>
  <c r="AA50" i="1"/>
  <c r="AB51" i="1"/>
  <c r="K23" i="19"/>
  <c r="AI43" i="19"/>
  <c r="AC43" i="19"/>
  <c r="AC53" i="19"/>
  <c r="W43" i="19"/>
  <c r="K13" i="19"/>
  <c r="Q53" i="19"/>
  <c r="AI53" i="19"/>
  <c r="K33" i="19"/>
  <c r="K43" i="19"/>
  <c r="AI33" i="19"/>
  <c r="AC33" i="19"/>
  <c r="AC43" i="1"/>
  <c r="Q33" i="19"/>
  <c r="AI23" i="19"/>
  <c r="K53" i="19"/>
  <c r="AC23" i="19"/>
  <c r="AC13" i="19"/>
  <c r="W23" i="19"/>
  <c r="W33" i="19"/>
  <c r="Q13" i="19"/>
  <c r="W13" i="19"/>
  <c r="AI13" i="19"/>
  <c r="Q43" i="19"/>
  <c r="Q23" i="19"/>
  <c r="W53" i="19"/>
  <c r="M12" i="19"/>
  <c r="AK42" i="19"/>
  <c r="AE32" i="19"/>
  <c r="AC39" i="1"/>
  <c r="M52" i="19"/>
  <c r="S12" i="19"/>
  <c r="M32" i="19"/>
  <c r="S52" i="19"/>
  <c r="Y52" i="19"/>
  <c r="Y42" i="19"/>
  <c r="AK12" i="19"/>
  <c r="S22" i="19"/>
  <c r="AE12" i="19"/>
  <c r="Y22" i="19"/>
  <c r="S32" i="19"/>
  <c r="AK52" i="19"/>
  <c r="M22" i="19"/>
  <c r="AK32" i="19"/>
  <c r="AE22" i="19"/>
  <c r="AE42" i="19"/>
  <c r="Y32" i="19"/>
  <c r="M42" i="19"/>
  <c r="Y12" i="19"/>
  <c r="AE52" i="19"/>
  <c r="AK22" i="19"/>
  <c r="S42" i="19"/>
  <c r="AA33" i="1"/>
  <c r="AB35" i="1"/>
  <c r="AA35" i="1" s="1"/>
  <c r="AB34" i="1"/>
  <c r="AA34" i="1" s="1"/>
  <c r="AA26" i="1"/>
  <c r="AB27" i="1"/>
  <c r="R40" i="19" l="1"/>
  <c r="AD10" i="19"/>
  <c r="X40" i="19"/>
  <c r="AJ10" i="19"/>
  <c r="R50" i="19"/>
  <c r="X10" i="19"/>
  <c r="R30" i="19"/>
  <c r="AC26" i="1"/>
  <c r="L10" i="19"/>
  <c r="L50" i="19"/>
  <c r="AJ20" i="19"/>
  <c r="AJ40" i="19"/>
  <c r="AD30" i="19"/>
  <c r="R20" i="19"/>
  <c r="AD50" i="19"/>
  <c r="AJ30" i="19"/>
  <c r="AJ50" i="19"/>
  <c r="X30" i="19"/>
  <c r="AD20" i="19"/>
  <c r="L40" i="19"/>
  <c r="X50" i="19"/>
  <c r="X20" i="19"/>
  <c r="AD40" i="19"/>
  <c r="R10" i="19"/>
  <c r="L30" i="19"/>
  <c r="L20" i="19"/>
  <c r="AA45" i="1"/>
  <c r="AB46" i="1"/>
  <c r="AA58" i="1"/>
  <c r="AB59" i="1"/>
  <c r="AA59" i="1" s="1"/>
  <c r="AJ43" i="19"/>
  <c r="AD33" i="19"/>
  <c r="X33" i="19"/>
  <c r="X13" i="19"/>
  <c r="AD43" i="19"/>
  <c r="L43" i="19"/>
  <c r="AC44" i="1"/>
  <c r="X23" i="19"/>
  <c r="R33" i="19"/>
  <c r="R43" i="19"/>
  <c r="AD53" i="19"/>
  <c r="AJ13" i="19"/>
  <c r="R23" i="19"/>
  <c r="R13" i="19"/>
  <c r="AJ53" i="19"/>
  <c r="L33" i="19"/>
  <c r="L23" i="19"/>
  <c r="X43" i="19"/>
  <c r="X53" i="19"/>
  <c r="AD13" i="19"/>
  <c r="L53" i="19"/>
  <c r="L13" i="19"/>
  <c r="AD23" i="19"/>
  <c r="AJ33" i="19"/>
  <c r="AJ23" i="19"/>
  <c r="R53" i="19"/>
  <c r="M55" i="19"/>
  <c r="AK15" i="19"/>
  <c r="AE25" i="19"/>
  <c r="AC5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34" i="1"/>
  <c r="AL21" i="19"/>
  <c r="T41" i="19"/>
  <c r="AF41" i="19"/>
  <c r="O11" i="19"/>
  <c r="O21" i="19"/>
  <c r="O51" i="19"/>
  <c r="AA31" i="19"/>
  <c r="AM31" i="19"/>
  <c r="AG51" i="19"/>
  <c r="AA41" i="19"/>
  <c r="AM11" i="19"/>
  <c r="U21" i="19"/>
  <c r="AG41" i="19"/>
  <c r="AM21" i="19"/>
  <c r="AM51" i="19"/>
  <c r="O41" i="19"/>
  <c r="U11" i="19"/>
  <c r="AG31" i="19"/>
  <c r="U41" i="19"/>
  <c r="AC35" i="1"/>
  <c r="AG11" i="19"/>
  <c r="AM41" i="19"/>
  <c r="AA21" i="19"/>
  <c r="AA51" i="19"/>
  <c r="U51" i="19"/>
  <c r="U31" i="19"/>
  <c r="AA11" i="19"/>
  <c r="AG21" i="19"/>
  <c r="O31" i="19"/>
  <c r="AA51" i="1"/>
  <c r="AB52" i="1"/>
  <c r="AA27" i="1"/>
  <c r="AB28" i="1"/>
  <c r="AE11" i="19"/>
  <c r="Y41" i="19"/>
  <c r="M41" i="19"/>
  <c r="Y21" i="19"/>
  <c r="AK41" i="19"/>
  <c r="S31" i="19"/>
  <c r="M31" i="19"/>
  <c r="M51" i="19"/>
  <c r="Y51" i="19"/>
  <c r="AK21" i="19"/>
  <c r="AK31" i="19"/>
  <c r="Y11" i="19"/>
  <c r="AE41" i="19"/>
  <c r="AE21" i="19"/>
  <c r="S51" i="19"/>
  <c r="AE51" i="19"/>
  <c r="AK51" i="19"/>
  <c r="M21" i="19"/>
  <c r="AE31" i="19"/>
  <c r="AC33" i="1"/>
  <c r="S41" i="19"/>
  <c r="AK11" i="19"/>
  <c r="S11" i="19"/>
  <c r="Y31" i="19"/>
  <c r="S21" i="19"/>
  <c r="M11" i="19"/>
  <c r="L54" i="19"/>
  <c r="AJ14" i="19"/>
  <c r="AD44" i="19"/>
  <c r="X54" i="19"/>
  <c r="R14" i="19"/>
  <c r="AD24" i="19"/>
  <c r="AD34" i="19"/>
  <c r="R54" i="19"/>
  <c r="L34" i="19"/>
  <c r="AJ34" i="19"/>
  <c r="X24" i="19"/>
  <c r="AJ24" i="19"/>
  <c r="X44" i="19"/>
  <c r="R24" i="19"/>
  <c r="AC50" i="1"/>
  <c r="X34" i="19"/>
  <c r="L14" i="19"/>
  <c r="AD14" i="19"/>
  <c r="L44" i="19"/>
  <c r="R44" i="19"/>
  <c r="AD54" i="19"/>
  <c r="X14" i="19"/>
  <c r="AJ44" i="19"/>
  <c r="R34" i="19"/>
  <c r="AJ54" i="19"/>
  <c r="L24" i="19"/>
  <c r="AA28" i="1" l="1"/>
  <c r="AB29" i="1"/>
  <c r="AA29"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1" i="1"/>
  <c r="AE24" i="19"/>
  <c r="S14" i="19"/>
  <c r="AA55" i="19"/>
  <c r="O45" i="19"/>
  <c r="AA15" i="19"/>
  <c r="AM55" i="19"/>
  <c r="O55" i="19"/>
  <c r="AG35" i="19"/>
  <c r="AM25" i="19"/>
  <c r="AM35" i="19"/>
  <c r="AA25" i="19"/>
  <c r="AM45" i="19"/>
  <c r="AG25" i="19"/>
  <c r="AA35" i="19"/>
  <c r="O25" i="19"/>
  <c r="U25" i="19"/>
  <c r="AG45" i="19"/>
  <c r="U35" i="19"/>
  <c r="AA45" i="19"/>
  <c r="AM15" i="19"/>
  <c r="U45" i="19"/>
  <c r="O35" i="19"/>
  <c r="O15" i="19"/>
  <c r="AC59" i="1"/>
  <c r="AG15" i="19"/>
  <c r="U15" i="19"/>
  <c r="AG55" i="19"/>
  <c r="U55" i="19"/>
  <c r="AE40" i="19"/>
  <c r="Y30" i="19"/>
  <c r="M20" i="19"/>
  <c r="AC2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8" i="1"/>
  <c r="N15" i="19"/>
  <c r="AF55" i="19"/>
  <c r="N55" i="19"/>
  <c r="Z15" i="19"/>
  <c r="AF35" i="19"/>
  <c r="AA46" i="1"/>
  <c r="AB47" i="1"/>
  <c r="AA47"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2" i="1"/>
  <c r="AB53" i="1"/>
  <c r="AA53"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5"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3" i="1"/>
  <c r="AA14" i="19"/>
  <c r="O54" i="19"/>
  <c r="U44" i="19"/>
  <c r="U43" i="19"/>
  <c r="U13" i="19"/>
  <c r="AM53" i="19"/>
  <c r="AA53" i="19"/>
  <c r="AA43" i="19"/>
  <c r="O53" i="19"/>
  <c r="O23" i="19"/>
  <c r="O13" i="19"/>
  <c r="AG43" i="19"/>
  <c r="U33" i="19"/>
  <c r="U23" i="19"/>
  <c r="AM13" i="19"/>
  <c r="AM23" i="19"/>
  <c r="AG13" i="19"/>
  <c r="AA23" i="19"/>
  <c r="AG33" i="19"/>
  <c r="AA33" i="19"/>
  <c r="AM33" i="19"/>
  <c r="AA13" i="19"/>
  <c r="AC4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2" i="1"/>
  <c r="AF53" i="19"/>
  <c r="T43" i="19"/>
  <c r="Z53" i="19"/>
  <c r="N43" i="19"/>
  <c r="T23" i="19"/>
  <c r="AF43" i="19"/>
  <c r="Z13" i="19"/>
  <c r="Z43" i="19"/>
  <c r="AF23" i="19"/>
  <c r="AL13" i="19"/>
  <c r="Z23" i="19"/>
  <c r="AL43" i="19"/>
  <c r="AF13" i="19"/>
  <c r="AL23" i="19"/>
  <c r="N13" i="19"/>
  <c r="T33" i="19"/>
  <c r="AL53" i="19"/>
  <c r="N23" i="19"/>
  <c r="N53" i="19"/>
  <c r="AF33" i="19"/>
  <c r="N33" i="19"/>
  <c r="AC46"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30" i="1" l="1"/>
  <c r="L30" i="1" s="1"/>
  <c r="K10" i="1"/>
  <c r="K18" i="1"/>
  <c r="L18" i="1" s="1"/>
  <c r="K42" i="1"/>
  <c r="L42" i="1" s="1"/>
  <c r="K36" i="1"/>
  <c r="L36" i="1" s="1"/>
  <c r="K24" i="1"/>
  <c r="L24" i="1" s="1"/>
  <c r="K14" i="1"/>
  <c r="K54" i="1"/>
  <c r="L54" i="1" s="1"/>
  <c r="K48" i="1"/>
  <c r="L48" i="1" s="1"/>
  <c r="X6" i="18" l="1"/>
  <c r="AJ30" i="18"/>
  <c r="R22" i="18"/>
  <c r="L6" i="18"/>
  <c r="R30" i="18"/>
  <c r="X22" i="18"/>
  <c r="X38" i="18"/>
  <c r="AD38" i="18"/>
  <c r="N14" i="1"/>
  <c r="AD22" i="18"/>
  <c r="M14" i="1"/>
  <c r="AB14"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24" i="1"/>
  <c r="L32" i="18"/>
  <c r="X8" i="18"/>
  <c r="X24" i="18"/>
  <c r="AJ8" i="18"/>
  <c r="M24" i="1"/>
  <c r="R40" i="18"/>
  <c r="L40" i="18"/>
  <c r="X16" i="18"/>
  <c r="L24" i="18"/>
  <c r="AJ24" i="18"/>
  <c r="X32" i="18"/>
  <c r="AJ40" i="18"/>
  <c r="R16" i="18"/>
  <c r="AD40" i="18"/>
  <c r="AD32" i="18"/>
  <c r="AD16" i="18"/>
  <c r="M36" i="1"/>
  <c r="J42" i="18"/>
  <c r="P34" i="18"/>
  <c r="AB18" i="18"/>
  <c r="AB42" i="18"/>
  <c r="AH34" i="18"/>
  <c r="P10" i="18"/>
  <c r="V34" i="18"/>
  <c r="P42" i="18"/>
  <c r="V42" i="18"/>
  <c r="AH42" i="18"/>
  <c r="AB26" i="18"/>
  <c r="AH26" i="18"/>
  <c r="V26" i="18"/>
  <c r="AB34" i="18"/>
  <c r="V10" i="18"/>
  <c r="AH18" i="18"/>
  <c r="J34" i="18"/>
  <c r="J10" i="18"/>
  <c r="AB10" i="18"/>
  <c r="J18" i="18"/>
  <c r="N36" i="1"/>
  <c r="P26" i="18"/>
  <c r="J26" i="18"/>
  <c r="AH10" i="18"/>
  <c r="P18" i="18"/>
  <c r="V18" i="18"/>
  <c r="X42" i="18"/>
  <c r="AD34" i="18"/>
  <c r="AD10" i="18"/>
  <c r="AD26" i="18"/>
  <c r="L10" i="18"/>
  <c r="L42" i="18"/>
  <c r="L26" i="18"/>
  <c r="X18" i="18"/>
  <c r="X34" i="18"/>
  <c r="X10" i="18"/>
  <c r="R18" i="18"/>
  <c r="AJ10" i="18"/>
  <c r="AD42" i="18"/>
  <c r="AJ34" i="18"/>
  <c r="R26" i="18"/>
  <c r="M42" i="1"/>
  <c r="L18" i="18"/>
  <c r="AJ26" i="18"/>
  <c r="AD18" i="18"/>
  <c r="R34" i="18"/>
  <c r="L34" i="18"/>
  <c r="AJ42" i="18"/>
  <c r="R10" i="18"/>
  <c r="R42" i="18"/>
  <c r="X26" i="18"/>
  <c r="AJ18" i="18"/>
  <c r="N42" i="1"/>
  <c r="T14" i="18"/>
  <c r="AL38" i="18"/>
  <c r="N14" i="18"/>
  <c r="Z6" i="18"/>
  <c r="T38" i="18"/>
  <c r="T22" i="18"/>
  <c r="AL14" i="18"/>
  <c r="N22" i="18"/>
  <c r="AF22" i="18"/>
  <c r="N6" i="18"/>
  <c r="AF6" i="18"/>
  <c r="AF38" i="18"/>
  <c r="M18" i="1"/>
  <c r="AB18" i="1" s="1"/>
  <c r="N38" i="18"/>
  <c r="AL30" i="18"/>
  <c r="AL22" i="18"/>
  <c r="T6" i="18"/>
  <c r="AF14" i="18"/>
  <c r="AF30" i="18"/>
  <c r="Z22" i="18"/>
  <c r="T30" i="18"/>
  <c r="Z30" i="18"/>
  <c r="AL6" i="18"/>
  <c r="Z14" i="18"/>
  <c r="Z38" i="18"/>
  <c r="N30" i="18"/>
  <c r="J40" i="18"/>
  <c r="AB40" i="18"/>
  <c r="AH32" i="18"/>
  <c r="AB24" i="18"/>
  <c r="V16" i="18"/>
  <c r="AB20" i="1"/>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M48" i="1"/>
  <c r="Z34" i="18"/>
  <c r="T10" i="18"/>
  <c r="N48" i="1"/>
  <c r="AL42" i="18"/>
  <c r="N34" i="18"/>
  <c r="T42" i="18"/>
  <c r="P14" i="18"/>
  <c r="V22" i="18"/>
  <c r="V14" i="18"/>
  <c r="P22" i="18"/>
  <c r="V38" i="18"/>
  <c r="AH14" i="18"/>
  <c r="AH38" i="18"/>
  <c r="J14" i="18"/>
  <c r="AB22" i="18"/>
  <c r="V30" i="18"/>
  <c r="AB14" i="18"/>
  <c r="AB38" i="18"/>
  <c r="J30" i="18"/>
  <c r="P38" i="18"/>
  <c r="AB6" i="18"/>
  <c r="AH30" i="18"/>
  <c r="J38" i="18"/>
  <c r="AH6" i="18"/>
  <c r="V6" i="18"/>
  <c r="AB30" i="18"/>
  <c r="J22" i="18"/>
  <c r="J6" i="18"/>
  <c r="P30" i="18"/>
  <c r="AH22" i="18"/>
  <c r="P6" i="18"/>
  <c r="AH12" i="18"/>
  <c r="J20" i="18"/>
  <c r="J44" i="18"/>
  <c r="AB28" i="18"/>
  <c r="P28" i="18"/>
  <c r="N54" i="1"/>
  <c r="P12" i="18"/>
  <c r="AH20" i="18"/>
  <c r="P44" i="18"/>
  <c r="AB12" i="18"/>
  <c r="P20" i="18"/>
  <c r="J36" i="18"/>
  <c r="P36" i="18"/>
  <c r="AB44" i="18"/>
  <c r="V44" i="18"/>
  <c r="J28" i="18"/>
  <c r="AH36" i="18"/>
  <c r="V12" i="18"/>
  <c r="V28" i="18"/>
  <c r="AH44" i="18"/>
  <c r="AB20" i="18"/>
  <c r="AB36" i="18"/>
  <c r="AH28" i="18"/>
  <c r="V36" i="18"/>
  <c r="V20" i="18"/>
  <c r="M54" i="1"/>
  <c r="AB54" i="1" s="1"/>
  <c r="AA54" i="1" s="1"/>
  <c r="J12" i="18"/>
  <c r="AF24" i="18"/>
  <c r="AF32" i="18"/>
  <c r="T40" i="18"/>
  <c r="M30" i="1"/>
  <c r="Z40" i="18"/>
  <c r="AL8" i="18"/>
  <c r="AF8" i="18"/>
  <c r="T8" i="18"/>
  <c r="Z16" i="18"/>
  <c r="T24" i="18"/>
  <c r="AL24" i="18"/>
  <c r="Z32" i="18"/>
  <c r="N32" i="18"/>
  <c r="N16" i="18"/>
  <c r="Z8" i="18"/>
  <c r="AL40" i="18"/>
  <c r="N8" i="18"/>
  <c r="N24" i="18"/>
  <c r="T32" i="18"/>
  <c r="T16" i="18"/>
  <c r="AF40" i="18"/>
  <c r="AF16" i="18"/>
  <c r="AL32" i="18"/>
  <c r="N40" i="18"/>
  <c r="Z24" i="18"/>
  <c r="AL16" i="18"/>
  <c r="N30" i="1"/>
  <c r="AA20" i="1" l="1"/>
  <c r="V29" i="19" s="1"/>
  <c r="AB21" i="1"/>
  <c r="AA18" i="1"/>
  <c r="AC18" i="1" s="1"/>
  <c r="AB19" i="1"/>
  <c r="AA19" i="1" s="1"/>
  <c r="AA14" i="1"/>
  <c r="AH7" i="19" s="1"/>
  <c r="AB15" i="1"/>
  <c r="AA15" i="1" s="1"/>
  <c r="AB10" i="1"/>
  <c r="AA10" i="1" s="1"/>
  <c r="P6" i="19" s="1"/>
  <c r="V25" i="19"/>
  <c r="V45" i="19"/>
  <c r="J15" i="19"/>
  <c r="AB45" i="19"/>
  <c r="AH25" i="19"/>
  <c r="AH55" i="19"/>
  <c r="AB15" i="19"/>
  <c r="P15" i="19"/>
  <c r="P45" i="19"/>
  <c r="V15" i="19"/>
  <c r="J35" i="19"/>
  <c r="AH45" i="19"/>
  <c r="J25" i="19"/>
  <c r="AB35" i="19"/>
  <c r="AH15" i="19"/>
  <c r="V35" i="19"/>
  <c r="J55" i="19"/>
  <c r="AB55" i="19"/>
  <c r="AC54" i="1"/>
  <c r="AB25" i="19"/>
  <c r="AH35" i="19"/>
  <c r="P55" i="19"/>
  <c r="J45" i="19"/>
  <c r="P25" i="19"/>
  <c r="P35" i="19"/>
  <c r="V55" i="19"/>
  <c r="AB16" i="1" l="1"/>
  <c r="J9" i="19"/>
  <c r="AH9" i="19"/>
  <c r="AH49" i="19"/>
  <c r="AB19" i="19"/>
  <c r="J29" i="19"/>
  <c r="V9" i="19"/>
  <c r="AB29" i="19"/>
  <c r="AH19" i="19"/>
  <c r="AB9" i="19"/>
  <c r="V19" i="19"/>
  <c r="P9" i="19"/>
  <c r="AH39" i="19"/>
  <c r="P39" i="19"/>
  <c r="J19" i="19"/>
  <c r="P19" i="19"/>
  <c r="AB39" i="19"/>
  <c r="J49" i="19"/>
  <c r="J39" i="19"/>
  <c r="P49" i="19"/>
  <c r="AC20" i="1"/>
  <c r="V39" i="19"/>
  <c r="AB49" i="19"/>
  <c r="V49" i="19"/>
  <c r="P29" i="19"/>
  <c r="AH29" i="19"/>
  <c r="AA21" i="1"/>
  <c r="W29" i="19" s="1"/>
  <c r="AB22" i="1"/>
  <c r="J48" i="19"/>
  <c r="AH18" i="19"/>
  <c r="AB38" i="19"/>
  <c r="V38" i="19"/>
  <c r="AH8" i="19"/>
  <c r="V28" i="19"/>
  <c r="V48" i="19"/>
  <c r="V18" i="19"/>
  <c r="AB48" i="19"/>
  <c r="J18" i="19"/>
  <c r="J8" i="19"/>
  <c r="P28" i="19"/>
  <c r="J28" i="19"/>
  <c r="AB28" i="19"/>
  <c r="AH48" i="19"/>
  <c r="P8" i="19"/>
  <c r="P48" i="19"/>
  <c r="AB8" i="19"/>
  <c r="P18" i="19"/>
  <c r="J38" i="19"/>
  <c r="V8" i="19"/>
  <c r="AH28" i="19"/>
  <c r="AH38" i="19"/>
  <c r="P38" i="19"/>
  <c r="AB18" i="19"/>
  <c r="AC18" i="19"/>
  <c r="AC8" i="19"/>
  <c r="W18" i="19"/>
  <c r="AI8" i="19"/>
  <c r="Q48" i="19"/>
  <c r="AC38" i="19"/>
  <c r="Q28" i="19"/>
  <c r="K18" i="19"/>
  <c r="AI18" i="19"/>
  <c r="W28" i="19"/>
  <c r="AI48" i="19"/>
  <c r="W8" i="19"/>
  <c r="Q8" i="19"/>
  <c r="K48" i="19"/>
  <c r="AC48" i="19"/>
  <c r="AC19" i="1"/>
  <c r="AC28" i="19"/>
  <c r="Q18" i="19"/>
  <c r="W38" i="19"/>
  <c r="AI28" i="19"/>
  <c r="K38" i="19"/>
  <c r="W48" i="19"/>
  <c r="Q38" i="19"/>
  <c r="AI38" i="19"/>
  <c r="K8" i="19"/>
  <c r="K28" i="19"/>
  <c r="AH37" i="19"/>
  <c r="V27" i="19"/>
  <c r="P7" i="19"/>
  <c r="AH47" i="19"/>
  <c r="AB7" i="19"/>
  <c r="P27" i="19"/>
  <c r="J37" i="19"/>
  <c r="AH27" i="19"/>
  <c r="AC14" i="1"/>
  <c r="AB17" i="19"/>
  <c r="P47" i="19"/>
  <c r="J27" i="19"/>
  <c r="AB37" i="19"/>
  <c r="AB27" i="19"/>
  <c r="P17" i="19"/>
  <c r="AH17" i="19"/>
  <c r="V47" i="19"/>
  <c r="AB47" i="19"/>
  <c r="J7" i="19"/>
  <c r="V37" i="19"/>
  <c r="J17" i="19"/>
  <c r="V17" i="19"/>
  <c r="J47" i="19"/>
  <c r="V7" i="19"/>
  <c r="P37" i="19"/>
  <c r="W37" i="19"/>
  <c r="Q47" i="19"/>
  <c r="AI47" i="19"/>
  <c r="AC37" i="19"/>
  <c r="K37" i="19"/>
  <c r="AI27" i="19"/>
  <c r="K7" i="19"/>
  <c r="AI7" i="19"/>
  <c r="W7" i="19"/>
  <c r="Q27" i="19"/>
  <c r="AI37" i="19"/>
  <c r="AC7" i="19"/>
  <c r="Q7" i="19"/>
  <c r="Q17" i="19"/>
  <c r="W17" i="19"/>
  <c r="AI17" i="19"/>
  <c r="AC27" i="19"/>
  <c r="AC15" i="1"/>
  <c r="W47" i="19"/>
  <c r="K27" i="19"/>
  <c r="W27" i="19"/>
  <c r="K47" i="19"/>
  <c r="AC47" i="19"/>
  <c r="AC17" i="19"/>
  <c r="Q37" i="19"/>
  <c r="K17" i="19"/>
  <c r="AB11" i="1"/>
  <c r="AA11" i="1" s="1"/>
  <c r="AB36" i="19"/>
  <c r="J26" i="19"/>
  <c r="V6" i="19"/>
  <c r="P26" i="19"/>
  <c r="AB26" i="19"/>
  <c r="V46" i="19"/>
  <c r="AH16" i="19"/>
  <c r="P46" i="19"/>
  <c r="AH6" i="19"/>
  <c r="J36" i="19"/>
  <c r="V26" i="19"/>
  <c r="P36" i="19"/>
  <c r="V36" i="19"/>
  <c r="J16" i="19"/>
  <c r="J6" i="19"/>
  <c r="P16" i="19"/>
  <c r="V16" i="19"/>
  <c r="AH26" i="19"/>
  <c r="AH46" i="19"/>
  <c r="J46" i="19"/>
  <c r="AB6" i="19"/>
  <c r="AC10" i="1"/>
  <c r="AH36" i="19"/>
  <c r="AB16" i="19"/>
  <c r="AB46" i="19"/>
  <c r="AA16" i="1" l="1"/>
  <c r="AB17" i="1"/>
  <c r="AA17" i="1" s="1"/>
  <c r="Q49" i="19"/>
  <c r="AI9" i="19"/>
  <c r="AC29" i="19"/>
  <c r="AI19" i="19"/>
  <c r="W9" i="19"/>
  <c r="AC19" i="19"/>
  <c r="W39" i="19"/>
  <c r="K29" i="19"/>
  <c r="AI39" i="19"/>
  <c r="AI29" i="19"/>
  <c r="Q9" i="19"/>
  <c r="K39" i="19"/>
  <c r="K49" i="19"/>
  <c r="AC39" i="19"/>
  <c r="AC9" i="19"/>
  <c r="W19" i="19"/>
  <c r="K9" i="19"/>
  <c r="AC21" i="1"/>
  <c r="K19" i="19"/>
  <c r="Q39" i="19"/>
  <c r="Q19" i="19"/>
  <c r="AI49" i="19"/>
  <c r="Q29" i="19"/>
  <c r="W49" i="19"/>
  <c r="AC49" i="19"/>
  <c r="AA22" i="1"/>
  <c r="R39" i="19" s="1"/>
  <c r="AB23" i="1"/>
  <c r="AA23" i="1" s="1"/>
  <c r="AB12" i="1"/>
  <c r="W26" i="19"/>
  <c r="AI6" i="19"/>
  <c r="W16" i="19"/>
  <c r="AC26" i="19"/>
  <c r="Q6" i="19"/>
  <c r="Q26" i="19"/>
  <c r="AI16" i="19"/>
  <c r="AC11" i="1"/>
  <c r="K16" i="19"/>
  <c r="K26" i="19"/>
  <c r="K46" i="19"/>
  <c r="AI36" i="19"/>
  <c r="K36" i="19"/>
  <c r="W6" i="19"/>
  <c r="Q16" i="19"/>
  <c r="AC6" i="19"/>
  <c r="AC46" i="19"/>
  <c r="AC36" i="19"/>
  <c r="AC16" i="19"/>
  <c r="Q46" i="19"/>
  <c r="Q36" i="19"/>
  <c r="K6" i="19"/>
  <c r="AI26" i="19"/>
  <c r="AI46" i="19"/>
  <c r="W36" i="19"/>
  <c r="W46" i="19"/>
  <c r="AK48" i="19" l="1"/>
  <c r="S8" i="19"/>
  <c r="M18" i="19"/>
  <c r="M38" i="19"/>
  <c r="AK8" i="19"/>
  <c r="S28" i="19"/>
  <c r="AE28" i="19"/>
  <c r="Y48" i="19"/>
  <c r="AE38" i="19"/>
  <c r="Y18" i="19"/>
  <c r="AK28" i="19"/>
  <c r="M28" i="19"/>
  <c r="AK38" i="19"/>
  <c r="AK18" i="19"/>
  <c r="S18" i="19"/>
  <c r="Y8" i="19"/>
  <c r="S48" i="19"/>
  <c r="S38" i="19"/>
  <c r="AE8" i="19"/>
  <c r="AE48" i="19"/>
  <c r="M8" i="19"/>
  <c r="M48" i="19"/>
  <c r="Y28" i="19"/>
  <c r="AE18" i="19"/>
  <c r="Y38" i="19"/>
  <c r="X8" i="19"/>
  <c r="AD8" i="19"/>
  <c r="X48" i="19"/>
  <c r="AJ8" i="19"/>
  <c r="AJ38" i="19"/>
  <c r="X18" i="19"/>
  <c r="R8" i="19"/>
  <c r="X28" i="19"/>
  <c r="L28" i="19"/>
  <c r="R38" i="19"/>
  <c r="R48" i="19"/>
  <c r="AD38" i="19"/>
  <c r="X38" i="19"/>
  <c r="AJ28" i="19"/>
  <c r="AJ48" i="19"/>
  <c r="AD28" i="19"/>
  <c r="L38" i="19"/>
  <c r="L48" i="19"/>
  <c r="L8" i="19"/>
  <c r="AJ18" i="19"/>
  <c r="AD18" i="19"/>
  <c r="R28" i="19"/>
  <c r="R18" i="19"/>
  <c r="AD48" i="19"/>
  <c r="L18" i="19"/>
  <c r="S37" i="19"/>
  <c r="M27" i="19"/>
  <c r="AE37" i="19"/>
  <c r="AK27" i="19"/>
  <c r="AK47" i="19"/>
  <c r="S7" i="19"/>
  <c r="AK37" i="19"/>
  <c r="M17" i="19"/>
  <c r="S17" i="19"/>
  <c r="S47" i="19"/>
  <c r="Y27" i="19"/>
  <c r="M37" i="19"/>
  <c r="Y7" i="19"/>
  <c r="AK7" i="19"/>
  <c r="Y37" i="19"/>
  <c r="AE27" i="19"/>
  <c r="AK17" i="19"/>
  <c r="Y17" i="19"/>
  <c r="AE47" i="19"/>
  <c r="M47" i="19"/>
  <c r="AC17" i="1"/>
  <c r="AE17" i="19"/>
  <c r="Y47" i="19"/>
  <c r="M7" i="19"/>
  <c r="S27" i="19"/>
  <c r="AE7" i="19"/>
  <c r="AJ27" i="19"/>
  <c r="L47" i="19"/>
  <c r="AD37" i="19"/>
  <c r="R7" i="19"/>
  <c r="L17" i="19"/>
  <c r="AD47" i="19"/>
  <c r="R17" i="19"/>
  <c r="AD17" i="19"/>
  <c r="R47" i="19"/>
  <c r="X47" i="19"/>
  <c r="AJ37" i="19"/>
  <c r="AJ17" i="19"/>
  <c r="X7" i="19"/>
  <c r="AD27" i="19"/>
  <c r="X37" i="19"/>
  <c r="AJ47" i="19"/>
  <c r="L37" i="19"/>
  <c r="L27" i="19"/>
  <c r="L7" i="19"/>
  <c r="AC16" i="1"/>
  <c r="AJ7" i="19"/>
  <c r="AD7" i="19"/>
  <c r="R37" i="19"/>
  <c r="R27" i="19"/>
  <c r="X27" i="19"/>
  <c r="X17" i="19"/>
  <c r="AC22" i="1"/>
  <c r="AD29" i="19"/>
  <c r="X19" i="19"/>
  <c r="R49" i="19"/>
  <c r="L49" i="19"/>
  <c r="L39" i="19"/>
  <c r="L9" i="19"/>
  <c r="X49" i="19"/>
  <c r="R29" i="19"/>
  <c r="AD19" i="19"/>
  <c r="R19" i="19"/>
  <c r="AD49" i="19"/>
  <c r="AJ49" i="19"/>
  <c r="X9" i="19"/>
  <c r="L19" i="19"/>
  <c r="AD9" i="19"/>
  <c r="AJ9" i="19"/>
  <c r="AJ19" i="19"/>
  <c r="R9" i="19"/>
  <c r="L29" i="19"/>
  <c r="X39" i="19"/>
  <c r="X29" i="19"/>
  <c r="AD39" i="19"/>
  <c r="AJ29" i="19"/>
  <c r="AJ39" i="19"/>
  <c r="S39" i="19"/>
  <c r="AK19" i="19"/>
  <c r="Y39" i="19"/>
  <c r="S19" i="19"/>
  <c r="M39" i="19"/>
  <c r="S9" i="19"/>
  <c r="M9" i="19"/>
  <c r="M29" i="19"/>
  <c r="Y19" i="19"/>
  <c r="AE39" i="19"/>
  <c r="AC23" i="1"/>
  <c r="M49" i="19"/>
  <c r="Y9" i="19"/>
  <c r="AK49" i="19"/>
  <c r="M19" i="19"/>
  <c r="AK9" i="19"/>
  <c r="AE29" i="19"/>
  <c r="Y29" i="19"/>
  <c r="AE19" i="19"/>
  <c r="AE9" i="19"/>
  <c r="Y49" i="19"/>
  <c r="AE49" i="19"/>
  <c r="S29" i="19"/>
  <c r="AK29" i="19"/>
  <c r="AK39" i="19"/>
  <c r="S49" i="19"/>
  <c r="AA12" i="1"/>
  <c r="AB13" i="1"/>
  <c r="AA13" i="1" s="1"/>
  <c r="M36" i="19" l="1"/>
  <c r="AE16" i="19"/>
  <c r="S46" i="19"/>
  <c r="AK26" i="19"/>
  <c r="S26" i="19"/>
  <c r="AK6" i="19"/>
  <c r="AC13" i="1"/>
  <c r="AE26" i="19"/>
  <c r="S16" i="19"/>
  <c r="Y36" i="19"/>
  <c r="Y16" i="19"/>
  <c r="M6" i="19"/>
  <c r="AE6" i="19"/>
  <c r="AK46" i="19"/>
  <c r="AK16" i="19"/>
  <c r="M16" i="19"/>
  <c r="Y6" i="19"/>
  <c r="M46" i="19"/>
  <c r="S6" i="19"/>
  <c r="AE46" i="19"/>
  <c r="S36" i="19"/>
  <c r="M26" i="19"/>
  <c r="Y46" i="19"/>
  <c r="AK36" i="19"/>
  <c r="Y26" i="19"/>
  <c r="AE36" i="19"/>
  <c r="X46" i="19"/>
  <c r="X36" i="19"/>
  <c r="R16" i="19"/>
  <c r="R36" i="19"/>
  <c r="L46" i="19"/>
  <c r="AD6" i="19"/>
  <c r="L6" i="19"/>
  <c r="R46" i="19"/>
  <c r="AD16" i="19"/>
  <c r="R6" i="19"/>
  <c r="AJ16" i="19"/>
  <c r="AJ6" i="19"/>
  <c r="AD26" i="19"/>
  <c r="AD36" i="19"/>
  <c r="R26" i="19"/>
  <c r="L16" i="19"/>
  <c r="X6" i="19"/>
  <c r="X16" i="19"/>
  <c r="L36" i="19"/>
  <c r="AJ26" i="19"/>
  <c r="AD46" i="19"/>
  <c r="AJ36" i="19"/>
  <c r="AJ46" i="19"/>
  <c r="AC12" i="1"/>
  <c r="L26" i="19"/>
  <c r="X2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<sst xmlns="http://schemas.openxmlformats.org/spreadsheetml/2006/main" count="465" uniqueCount="262">
  <si>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</si>
  <si>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</si>
  <si>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</si>
  <si>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</si>
  <si>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</si>
  <si>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</si>
  <si>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</si>
  <si>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</si>
  <si>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</si>
  <si>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</si>
  <si>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</si>
  <si>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</si>
  <si>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</si>
  <si>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</si>
  <si>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</si>
  <si>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</si>
  <si>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</si>
  <si>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</si>
  <si>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</si>
  <si>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</si>
  <si>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</si>
  <si>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</si>
  <si>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</si>
  <si>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</si>
  <si>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</si>
  <si>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</si>
  <si>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</si>
  <si>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</si>
  <si>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</si>
  <si>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</si>
  <si>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</si>
  <si>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</si>
  <si>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</si>
  <si>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</si>
  <si>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</si>
  <si>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</si>
  <si>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</si>
  <si>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</si>
  <si>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</si>
  <si>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</si>
  <si>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</si>
  <si>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</si>
  <si>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</si>
  <si>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</si>
  <si>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</si>
  <si>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</si>
  <si>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</si>
  <si>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</si>
  <si>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</si>
  <si>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</si>
  <si>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</si>
  <si>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</si>
  <si>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</si>
  <si>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</si>
  <si>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</si>
  <si>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</si>
  <si>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</si>
  <si>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</si>
  <si>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</si>
  <si>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</si>
  <si>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</si>
  <si>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</si>
  <si>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</si>
  <si>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</si>
  <si>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</si>
  <si>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</si>
  <si>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</si>
  <si>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</si>
  <si>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</si>
  <si>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</si>
  <si>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</si>
  <si>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</si>
  <si>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</si>
  <si>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</si>
  <si>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</si>
  <si>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</si>
  <si>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</si>
  <si>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</si>
  <si>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</si>
  <si>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</si>
  <si>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</si>
  <si>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</si>
  <si>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</si>
  <si>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</si>
  <si>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</si>
  <si>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</si>
  <si>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</si>
  <si>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</si>
  <si>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</si>
  <si>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</si>
  <si>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</si>
  <si>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</si>
  <si>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</si>
  <si>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</si>
  <si>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</si>
  <si>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</si>
  <si>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</si>
  <si>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</si>
  <si>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</si>
  <si>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</si>
  <si>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</si>
  <si>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</si>
  <si>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</si>
  <si>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</si>
  <si>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</si>
  <si>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</si>
  <si>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</si>
  <si>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</si>
  <si>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</si>
  <si>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</si>
  <si>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</si>
  <si>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</si>
  <si>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</si>
  <si>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</si>
  <si>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</si>
  <si>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</si>
  <si>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</si>
  <si>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</si>
  <si>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</si>
  <si>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</si>
  <si>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</si>
  <si>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</si>
  <si>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</si>
  <si>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</si>
  <si>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</si>
  <si>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</si>
  <si>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</si>
  <si>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</si>
  <si>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</si>
  <si>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</si>
  <si>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</si>
  <si>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</si>
  <si>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</si>
  <si>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</si>
  <si>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</si>
  <si>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</si>
  <si>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</si>
  <si>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</si>
  <si>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</si>
  <si>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</si>
  <si>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</si>
  <si>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</si>
  <si>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</si>
  <si>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</si>
  <si>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</si>
  <si>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</si>
  <si>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</si>
  <si>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</si>
  <si>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</si>
  <si>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</si>
  <si>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</si>
  <si>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</si>
  <si>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</si>
  <si>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</si>
  <si>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</si>
  <si>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</si>
  <si>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</si>
  <si>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</si>
  <si>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</si>
  <si>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</si>
  <si>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</si>
  <si>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</si>
  <si>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</si>
  <si>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</si>
  <si>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</si>
  <si>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</si>
  <si>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</si>
  <si>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</si>
  <si>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</si>
  <si>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</si>
  <si>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</si>
  <si>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</si>
  <si>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</si>
  <si>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</si>
  <si>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</si>
  <si>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</si>
  <si>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</si>
  <si>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</si>
  <si>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</si>
  <si>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</si>
  <si>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</si>
  <si>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</si>
  <si>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</si>
  <si>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</si>
  <si>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</si>
  <si>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</si>
  <si>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</si>
  <si>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</si>
  <si>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</si>
  <si>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</si>
  <si>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</si>
  <si>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</si>
  <si>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</si>
  <si>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</si>
  <si>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</si>
  <si>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</si>
  <si>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</si>
  <si>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</si>
  <si>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</si>
  <si>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</si>
  <si>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</si>
  <si>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</si>
  <si>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</si>
  <si>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</si>
  <si>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</si>
  <si>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</si>
  <si>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</si>
  <si>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</si>
  <si>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</si>
  <si>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</si>
  <si>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</si>
  <si>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</si>
  <si>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</si>
  <si>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</si>
  <si>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Investigaciones disciplinarias y sanciones por entes de Control</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</si>
  <si>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</si>
  <si>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Debilitamiento del Sistema de Control Interno</t>
  </si>
  <si>
    <t>Insatisfacción de los grupos de valor</t>
  </si>
  <si>
    <t>Director control interno</t>
  </si>
  <si>
    <t>Director control interno y/o Equipo auditor</t>
  </si>
  <si>
    <t xml:space="preserve">Capacitar al equipo auditor </t>
  </si>
  <si>
    <t>SEGUIMIENTO Y EVALUACIÓN</t>
  </si>
  <si>
    <t>Estará enmarcado en actividades relacionadas con orientaciones técnicas de tipo preventivo para la mejora en la estructura de la gestión y control del riesgo, garantizando la independencia y aportando recomendaciones para el logro de los objetivos de la entidad</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</si>
  <si>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</si>
  <si>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</si>
  <si>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El jefe de control remitirá oficio de incumplimiento por la no suscripción del plan de manejo y/o plan de mejoramiento</t>
  </si>
  <si>
    <t>Ejecución y Administración de procesos</t>
  </si>
  <si>
    <t>No renovar el contrato de prestación de servicios.</t>
  </si>
  <si>
    <t>Debido a errores o inconsistencias durante  la evaluación de la efectividad de los controles del sistema de control interno</t>
  </si>
  <si>
    <t>Posibilidad de afectación reputacional por insatisfacción de los grupos de valor debido a errores o inconsistencias durante  la evaluación de la efectividad de los controles del sistema de control interno</t>
  </si>
  <si>
    <t xml:space="preserve">Debido a influencias  y abuso de poder de la alta gerencia frente a la independencia administrativa en cuanto a las Auditorías, Seguimientos y Evaluaciones </t>
  </si>
  <si>
    <t>Posibilidad de afectación económica y reputacional por investigaciones disciplinarias y sanciones por entes de control debido a influencias y abuso de poder de la alta gerencia frente a la independencia administrativa en cuanto a las Auditorías, Seguimientos y Evaluaciones</t>
  </si>
  <si>
    <t xml:space="preserve">El jefe de control interno notificara a la alta gerencia sobre el inicio de las Auditorías, Seguimientos y Evaluaciones </t>
  </si>
  <si>
    <t>Realizar reunión de cierre para las auditorías con el fin de convalidar con los responsables de los procesos los hallazgos encontrados.</t>
  </si>
  <si>
    <t>Realizar inducción conforme a la normatividad aplicable a la OCI</t>
  </si>
  <si>
    <t xml:space="preserve">debido a Auditorías, Seguimientos y Evaluaciones sin el levantamiento por parte de los responsables de los procesos de los planes de mejoramientos y planes de manejo de seguimientos de los hallazgos y recomendaciones encontradas por la OCI </t>
  </si>
  <si>
    <t>Director Control Interno</t>
  </si>
  <si>
    <t>20/01/2024</t>
  </si>
  <si>
    <t>01/02/2024</t>
  </si>
  <si>
    <t>El Jefe de Oficina de Control Interno tramitará ante el Representante Legal la necesidad de contratación y/o  asignación de personal profesional - auditor certificado con el fin de dar cumplimiento al Plan Anual de Auditorías, Seguimientos y Evaluaciones.</t>
  </si>
  <si>
    <t>19/01/2024</t>
  </si>
  <si>
    <t>30/05/2024</t>
  </si>
  <si>
    <t>Debido al incumplimiento en la ejecución del Plan Anual de Auditorías, Seguimientos y Evaluaciones por no contar con el personal profesional auditor competente</t>
  </si>
  <si>
    <t>Posibilidad de afectación reputacional por debilitamiento del Sistema de Control Interno debido al incumplimiento en la ejecución del Plan Anual de Auditorías, Seguimientos y Evaluaciones por no contar con el personal profesional auditor competente</t>
  </si>
  <si>
    <t>El jefe de control interno notificara con evidencias soportadas las irregularidades presentadas en las Auditorías, Seguimientos y Evaluaciones a la alta gerencia y al CICCI</t>
  </si>
  <si>
    <t>01/06/2024
01/09/2024
01/11/2024</t>
  </si>
  <si>
    <t>2/07/2024
30/09/2024
29/11/2024</t>
  </si>
  <si>
    <t>El jefe de control interno remitirá por el correo institucional al Representante legal y al Comité de coordinación de control interno el informe de seguimiento y evaluación junto con el formato GC-FO-019 Plan manejo de seguimientos</t>
  </si>
  <si>
    <t>El jefe de control interno remitirá por el correo institucional al Representante legal y al Comité de coordinación de control interno el informe final de auditoria junto con el formato GC-FO-012 Plan mejoramiento institucional</t>
  </si>
  <si>
    <t>Notificar al Representante legal el incumplimiento de los planes producto de los seguimientos, evaluaciones y/o auditorías</t>
  </si>
  <si>
    <t>Las Auditorías, Seguimientos y Evaluaciones serán asignadas de acuerdo con el perfil del personal auditor asignado a la OCI</t>
  </si>
  <si>
    <t xml:space="preserve">El jefe de Oficina de Control Interno revisar las hojas de vida de los contratistas seleccionados por el Representante Legal para verificar la certificación de auditor y demás competencias en el área de control interno </t>
  </si>
  <si>
    <t>El jefe de Oficina de Control Interno velará porque el personal seleccionado por el Represéntate Legal tenga la certificación de auditor y demás competencias requeridas y necesarias en el área de control interno</t>
  </si>
  <si>
    <t>El jefe de Oficina de Control Interno notificará al Representante Legal la no pertinencia del contratista</t>
  </si>
  <si>
    <t>El jefe de control interno revisa los informes de forma preliminar antes de ser radicados en la ventanilla única y posteriormente el in forme radicado lo remite por medio del correo electrónico institucional al líder del proceso y/o grupos de valor correspondientes con el propósito de asegurar la entrega de informes precisos, objetivos, claros, concisos, constructivos, completos y oportunos</t>
  </si>
  <si>
    <t xml:space="preserve">Posibilidad de afectación económica y reputacional por investigaciones disciplinarias y sanciones por entes de control debido a Auditorías, Seguimientos y Evaluaciones sin el levantamiento por parte de los responsables de los procesos de los planes mejoramientos y planes de manejo de seguimientos de los hallazgos y recomendaciones encontradas por la OCI </t>
  </si>
  <si>
    <t xml:space="preserve">El jefe de control interno notificarà a la alta gerencia la independencia administrativa de la OCI  </t>
  </si>
  <si>
    <t>El jefe de control interno socializarà en los comités institucionales de gestión y desempeño y coordinación de control interno a la alta gerencia el incumplimiento con la entrega de los planes</t>
  </si>
  <si>
    <t>Tramitar solicitud al Representante legal para gestionar la contratación y/o asignación de personal profesional  - auditor certificado con el fin de dar cumplimiento al Plan Anual de Auditorías, Seguimientos y Evaluaciones</t>
  </si>
  <si>
    <t>Realizar reunión de apertura para las auditorías con el fin de comprometer a los responsables de los procesos, asimismo, realizar requerimientos de información objeto de análisis a traves del correo institucional.</t>
  </si>
  <si>
    <t>Notificar al Representante legal del incumplimiento del perfil de auditor del contratista</t>
  </si>
  <si>
    <t>02/01/2024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</si>
</sst>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49" fillId="3" borderId="51" xfId="2" applyFont="1" applyFill="1" applyBorder="1"/>
    <xf numFmtId="0" fontId="49" fillId="3" borderId="52" xfId="2" applyFont="1" applyFill="1" applyBorder="1"/>
    <xf numFmtId="0" fontId="49" fillId="3" borderId="53" xfId="2" applyFont="1" applyFill="1" applyBorder="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9" fontId="37" fillId="3" borderId="43" xfId="0" applyNumberFormat="1"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8" fillId="3" borderId="33" xfId="0" applyFont="1" applyFill="1" applyBorder="1" applyAlignment="1">
      <alignment horizontal="justify" vertical="center" wrapText="1" readingOrder="1"/>
    </xf>
    <xf numFmtId="9" fontId="37" fillId="3" borderId="38" xfId="0" applyNumberFormat="1"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xf numFmtId="0" fontId="38" fillId="3" borderId="40" xfId="0" applyFont="1" applyFill="1" applyBorder="1" applyAlignment="1">
      <alignment horizontal="justify" vertical="center" wrapText="1" readingOrder="1"/>
    </xf>
    <xf numFmtId="0" fontId="38" fillId="3" borderId="41" xfId="0" applyFont="1" applyFill="1" applyBorder="1" applyAlignment="1">
      <alignment horizontal="center" vertical="center" wrapText="1" readingOrder="1"/>
    </xf>
    <xf numFmtId="0" fontId="46" fillId="3" borderId="0" xfId="0" applyFont="1" applyFill="1"/>
    <xf numFmtId="0" fontId="37" fillId="15" borderId="45" xfId="0" applyFont="1" applyFill="1" applyBorder="1" applyAlignment="1">
      <alignment horizontal="center" vertical="center" wrapText="1" readingOrder="1"/>
    </xf>
    <xf numFmtId="0" fontId="37" fillId="15" borderId="46"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2" fillId="0" borderId="2" xfId="0" applyFont="1" applyBorder="1" applyAlignment="1">
      <alignment horizontal="center" vertical="top"/>
    </xf>
    <xf numFmtId="0" fontId="49" fillId="0" borderId="2" xfId="0" applyFont="1" applyBorder="1" applyAlignment="1" applyProtection="1">
      <alignment horizontal="justify" vertical="top" wrapText="1"/>
      <protection locked="0"/>
    </xf>
    <xf numFmtId="0" fontId="2" fillId="0" borderId="2" xfId="0" applyFont="1" applyBorder="1" applyAlignment="1" applyProtection="1">
      <alignment horizontal="center" vertical="top"/>
      <protection hidden="1"/>
    </xf>
    <xf numFmtId="0" fontId="2" fillId="0" borderId="2" xfId="0" applyFont="1" applyBorder="1" applyAlignment="1" applyProtection="1">
      <alignment horizontal="center" vertical="top" textRotation="90"/>
      <protection locked="0"/>
    </xf>
    <xf numFmtId="9" fontId="2" fillId="0" borderId="2" xfId="0" applyNumberFormat="1" applyFont="1" applyBorder="1" applyAlignment="1" applyProtection="1">
      <alignment horizontal="center" vertical="top"/>
      <protection hidden="1"/>
    </xf>
    <xf numFmtId="164" fontId="2" fillId="0" borderId="2" xfId="1" applyNumberFormat="1" applyFont="1" applyBorder="1" applyAlignment="1">
      <alignment horizontal="center" vertical="top"/>
    </xf>
    <xf numFmtId="0" fontId="52" fillId="0" borderId="2" xfId="0" applyFont="1" applyBorder="1" applyAlignment="1" applyProtection="1">
      <alignment horizontal="center" vertical="top" textRotation="90" wrapText="1"/>
      <protection hidden="1"/>
    </xf>
    <xf numFmtId="9" fontId="2" fillId="0" borderId="4" xfId="0" applyNumberFormat="1" applyFont="1" applyBorder="1" applyAlignment="1" applyProtection="1">
      <alignment horizontal="center" vertical="top"/>
      <protection hidden="1"/>
    </xf>
    <xf numFmtId="0" fontId="52" fillId="0" borderId="2" xfId="0" applyFont="1" applyBorder="1" applyAlignment="1" applyProtection="1">
      <alignment horizontal="center" vertical="top" textRotation="90"/>
      <protection hidden="1"/>
    </xf>
    <xf numFmtId="0" fontId="2" fillId="0" borderId="4" xfId="0" applyFont="1" applyBorder="1" applyAlignment="1" applyProtection="1">
      <alignment horizontal="center" vertical="top" textRotation="90"/>
      <protection locked="0"/>
    </xf>
    <xf numFmtId="0" fontId="2" fillId="0" borderId="2" xfId="0" applyFont="1" applyBorder="1" applyAlignment="1" applyProtection="1">
      <alignment horizontal="center" vertical="top" wrapText="1"/>
      <protection locked="0"/>
    </xf>
    <xf numFmtId="0" fontId="2" fillId="0" borderId="2" xfId="0" applyFont="1" applyBorder="1" applyAlignment="1" applyProtection="1">
      <alignment horizontal="center" vertical="top"/>
      <protection locked="0"/>
    </xf>
    <xf numFmtId="14" fontId="2" fillId="0" borderId="2" xfId="0" applyNumberFormat="1" applyFont="1" applyBorder="1" applyAlignment="1" applyProtection="1">
      <alignment horizontal="center" vertical="top"/>
      <protection locked="0"/>
    </xf>
    <xf numFmtId="0" fontId="2" fillId="3" borderId="0" xfId="0" applyFont="1" applyFill="1" applyAlignment="1">
      <alignment vertical="center"/>
    </xf>
    <xf numFmtId="0" fontId="2" fillId="0" borderId="0" xfId="0" applyFont="1" applyAlignment="1">
      <alignment vertical="center"/>
    </xf>
    <xf numFmtId="0" fontId="2" fillId="3" borderId="0" xfId="0" applyFont="1" applyFill="1"/>
    <xf numFmtId="0" fontId="2" fillId="0" borderId="0" xfId="0" applyFont="1"/>
    <xf numFmtId="0" fontId="2" fillId="0" borderId="2" xfId="0" applyFont="1" applyBorder="1" applyAlignment="1" applyProtection="1">
      <alignment horizontal="justify" vertical="top"/>
      <protection locked="0"/>
    </xf>
    <xf numFmtId="164" fontId="2" fillId="9" borderId="2" xfId="1" applyNumberFormat="1" applyFont="1" applyFill="1" applyBorder="1" applyAlignment="1">
      <alignment horizontal="center" vertical="top"/>
    </xf>
    <xf numFmtId="0" fontId="2" fillId="0" borderId="2" xfId="0" applyFont="1" applyBorder="1" applyAlignment="1" applyProtection="1">
      <alignment horizontal="left" vertical="top" wrapText="1"/>
      <protection locked="0"/>
    </xf>
    <xf numFmtId="14" fontId="2" fillId="0" borderId="2" xfId="0" applyNumberFormat="1" applyFont="1" applyBorder="1" applyAlignment="1" applyProtection="1">
      <alignment horizontal="center" vertical="top" wrapText="1"/>
      <protection locked="0"/>
    </xf>
    <xf numFmtId="0" fontId="50" fillId="14" borderId="48" xfId="2" applyFont="1" applyFill="1" applyBorder="1" applyAlignment="1">
      <alignment horizontal="center" vertical="center" wrapText="1"/>
    </xf>
    <xf numFmtId="0" fontId="50" fillId="14" borderId="49" xfId="2" applyFont="1" applyFill="1" applyBorder="1" applyAlignment="1">
      <alignment horizontal="center" vertical="center" wrapText="1"/>
    </xf>
    <xf numFmtId="0" fontId="50" fillId="14" borderId="50"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8" xfId="2" quotePrefix="1" applyFont="1" applyBorder="1" applyAlignment="1">
      <alignment horizontal="left" vertical="center" wrapText="1"/>
    </xf>
    <xf numFmtId="0" fontId="49" fillId="0" borderId="69" xfId="2" quotePrefix="1" applyFont="1" applyBorder="1" applyAlignment="1">
      <alignment horizontal="left" vertical="center" wrapText="1"/>
    </xf>
    <xf numFmtId="0" fontId="49" fillId="0" borderId="70" xfId="2" quotePrefix="1" applyFont="1" applyBorder="1" applyAlignment="1">
      <alignment horizontal="left" vertical="center" wrapText="1"/>
    </xf>
    <xf numFmtId="0" fontId="51" fillId="3" borderId="51" xfId="2" quotePrefix="1" applyFont="1" applyFill="1" applyBorder="1" applyAlignment="1">
      <alignment horizontal="left" vertical="top" wrapText="1"/>
    </xf>
    <xf numFmtId="0" fontId="52" fillId="3" borderId="52" xfId="2" quotePrefix="1" applyFont="1" applyFill="1" applyBorder="1" applyAlignment="1">
      <alignment horizontal="left" vertical="top" wrapText="1"/>
    </xf>
    <xf numFmtId="0" fontId="52" fillId="3" borderId="53"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4" xfId="3" applyFont="1" applyFill="1" applyBorder="1" applyAlignment="1">
      <alignment horizontal="center" vertical="center" wrapText="1"/>
    </xf>
    <xf numFmtId="0" fontId="54" fillId="14" borderId="55" xfId="3" applyFont="1" applyFill="1" applyBorder="1" applyAlignment="1">
      <alignment horizontal="center" vertical="center" wrapText="1"/>
    </xf>
    <xf numFmtId="0" fontId="54" fillId="14" borderId="56" xfId="2" applyFont="1" applyFill="1" applyBorder="1" applyAlignment="1">
      <alignment horizontal="center" vertical="center"/>
    </xf>
    <xf numFmtId="0" fontId="54"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4" fillId="3" borderId="58" xfId="3" applyFont="1" applyFill="1" applyBorder="1" applyAlignment="1">
      <alignment horizontal="left" vertical="top" wrapText="1" readingOrder="1"/>
    </xf>
    <xf numFmtId="0" fontId="54" fillId="3" borderId="59" xfId="3" applyFont="1" applyFill="1" applyBorder="1" applyAlignment="1">
      <alignment horizontal="left" vertical="top" wrapText="1" readingOrder="1"/>
    </xf>
    <xf numFmtId="0" fontId="55" fillId="3" borderId="60" xfId="2" applyFont="1" applyFill="1" applyBorder="1" applyAlignment="1">
      <alignment horizontal="justify" vertical="center" wrapText="1"/>
    </xf>
    <xf numFmtId="0" fontId="55" fillId="3" borderId="61" xfId="2" applyFont="1" applyFill="1" applyBorder="1" applyAlignment="1">
      <alignment horizontal="justify" vertical="center" wrapText="1"/>
    </xf>
    <xf numFmtId="0" fontId="54" fillId="3" borderId="62" xfId="0" applyFont="1" applyFill="1" applyBorder="1" applyAlignment="1">
      <alignment horizontal="left" vertical="center" wrapText="1"/>
    </xf>
    <xf numFmtId="0" fontId="54" fillId="3" borderId="63" xfId="0" applyFont="1" applyFill="1" applyBorder="1" applyAlignment="1">
      <alignment horizontal="left" vertical="center" wrapText="1"/>
    </xf>
    <xf numFmtId="0" fontId="55" fillId="3" borderId="64" xfId="2" applyFont="1" applyFill="1" applyBorder="1" applyAlignment="1">
      <alignment horizontal="justify" vertical="center" wrapText="1"/>
    </xf>
    <xf numFmtId="0" fontId="55" fillId="3" borderId="65"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71" xfId="0" applyFont="1" applyFill="1" applyBorder="1" applyAlignment="1">
      <alignment horizontal="left" vertical="center" wrapText="1"/>
    </xf>
    <xf numFmtId="0" fontId="54" fillId="3" borderId="72" xfId="0" applyFont="1" applyFill="1" applyBorder="1" applyAlignment="1">
      <alignment horizontal="left" vertical="center" wrapText="1"/>
    </xf>
    <xf numFmtId="0" fontId="54" fillId="3" borderId="73" xfId="0" applyFont="1" applyFill="1" applyBorder="1" applyAlignment="1">
      <alignment horizontal="left" vertical="center" wrapText="1"/>
    </xf>
    <xf numFmtId="0" fontId="54" fillId="3" borderId="74" xfId="0" applyFont="1" applyFill="1" applyBorder="1" applyAlignment="1">
      <alignment horizontal="left" vertical="center" wrapText="1"/>
    </xf>
    <xf numFmtId="0" fontId="55" fillId="3" borderId="66" xfId="0" applyFont="1" applyFill="1" applyBorder="1" applyAlignment="1">
      <alignment horizontal="justify" vertical="center" wrapText="1"/>
    </xf>
    <xf numFmtId="0" fontId="55" fillId="3" borderId="67" xfId="0" applyFont="1" applyFill="1" applyBorder="1" applyAlignment="1">
      <alignment horizontal="justify" vertical="center" wrapText="1"/>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4"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52" fillId="0" borderId="4" xfId="0" applyFont="1" applyBorder="1" applyAlignment="1" applyProtection="1">
      <alignment horizontal="center" vertical="top" wrapText="1"/>
      <protection hidden="1"/>
    </xf>
    <xf numFmtId="0" fontId="52" fillId="0" borderId="8" xfId="0" applyFont="1" applyBorder="1" applyAlignment="1" applyProtection="1">
      <alignment horizontal="center" vertical="top" wrapText="1"/>
      <protection hidden="1"/>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52" fillId="0" borderId="4" xfId="0" applyFont="1" applyBorder="1" applyAlignment="1" applyProtection="1">
      <alignment horizontal="center" vertical="top"/>
      <protection hidden="1"/>
    </xf>
    <xf numFmtId="0" fontId="52" fillId="0" borderId="8" xfId="0" applyFont="1" applyBorder="1" applyAlignment="1" applyProtection="1">
      <alignment horizontal="center" vertical="top"/>
      <protection hidden="1"/>
    </xf>
    <xf numFmtId="9" fontId="2" fillId="0" borderId="4" xfId="0" applyNumberFormat="1" applyFont="1" applyBorder="1" applyAlignment="1" applyProtection="1">
      <alignment horizontal="center" vertical="top" wrapText="1"/>
      <protection hidden="1"/>
    </xf>
    <xf numFmtId="9" fontId="2" fillId="0" borderId="8" xfId="0" applyNumberFormat="1" applyFont="1" applyBorder="1" applyAlignment="1" applyProtection="1">
      <alignment horizontal="center" vertical="top" wrapText="1"/>
      <protection hidden="1"/>
    </xf>
    <xf numFmtId="9" fontId="2" fillId="0" borderId="4" xfId="0" applyNumberFormat="1" applyFont="1" applyBorder="1" applyAlignment="1" applyProtection="1">
      <alignment horizontal="left" vertical="top" wrapText="1"/>
      <protection locked="0"/>
    </xf>
    <xf numFmtId="9" fontId="2" fillId="0" borderId="8" xfId="0" applyNumberFormat="1" applyFont="1" applyBorder="1" applyAlignment="1" applyProtection="1">
      <alignment horizontal="left"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26" fillId="2" borderId="4" xfId="0" applyFont="1" applyFill="1" applyBorder="1" applyAlignment="1">
      <alignment horizontal="center" vertical="center" textRotation="90"/>
    </xf>
    <xf numFmtId="0" fontId="26"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7" fillId="3" borderId="6" xfId="0" applyFont="1" applyFill="1" applyBorder="1" applyAlignment="1" applyProtection="1">
      <alignment horizontal="left" vertical="center" wrapText="1"/>
      <protection locked="0"/>
    </xf>
    <xf numFmtId="0" fontId="7" fillId="3" borderId="10"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9" fontId="2" fillId="0" borderId="4" xfId="0" applyNumberFormat="1" applyFont="1" applyBorder="1" applyAlignment="1" applyProtection="1">
      <alignment horizontal="center" vertical="top" wrapText="1"/>
      <protection locked="0"/>
    </xf>
    <xf numFmtId="9" fontId="2" fillId="0" borderId="8" xfId="0" applyNumberFormat="1" applyFont="1" applyBorder="1" applyAlignment="1" applyProtection="1">
      <alignment horizontal="center" vertical="top" wrapText="1"/>
      <protection locked="0"/>
    </xf>
    <xf numFmtId="0" fontId="2" fillId="0" borderId="5" xfId="0" applyFont="1" applyBorder="1" applyAlignment="1">
      <alignment horizontal="center" vertical="top"/>
    </xf>
    <xf numFmtId="0" fontId="2" fillId="0" borderId="5" xfId="0" applyFont="1" applyBorder="1" applyAlignment="1" applyProtection="1">
      <alignment horizontal="center" vertical="top" wrapText="1"/>
      <protection locked="0"/>
    </xf>
    <xf numFmtId="0" fontId="2" fillId="0" borderId="5" xfId="0" applyFont="1" applyBorder="1" applyAlignment="1" applyProtection="1">
      <alignment horizontal="center" vertical="top"/>
      <protection locked="0"/>
    </xf>
    <xf numFmtId="0" fontId="52" fillId="0" borderId="5" xfId="0"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hidden="1"/>
    </xf>
    <xf numFmtId="9" fontId="2" fillId="0" borderId="5" xfId="0" applyNumberFormat="1" applyFont="1" applyBorder="1" applyAlignment="1" applyProtection="1">
      <alignment horizontal="center" vertical="top" wrapText="1"/>
      <protection locked="0"/>
    </xf>
    <xf numFmtId="0" fontId="52" fillId="0" borderId="5" xfId="0" applyFont="1" applyBorder="1" applyAlignment="1" applyProtection="1">
      <alignment horizontal="center" vertical="top"/>
      <protection hidden="1"/>
    </xf>
    <xf numFmtId="0" fontId="7" fillId="3" borderId="6" xfId="0" applyFont="1" applyFill="1" applyBorder="1" applyAlignment="1" applyProtection="1">
      <alignment horizontal="left" vertical="center"/>
      <protection locked="0"/>
    </xf>
    <xf numFmtId="0" fontId="7" fillId="3" borderId="10"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5" borderId="35" xfId="0" applyFont="1" applyFill="1" applyBorder="1" applyAlignment="1">
      <alignment horizontal="center" vertical="center" wrapText="1" readingOrder="1"/>
    </xf>
    <xf numFmtId="0" fontId="40" fillId="15" borderId="36" xfId="0" applyFont="1" applyFill="1" applyBorder="1" applyAlignment="1">
      <alignment horizontal="center" vertical="center" wrapText="1" readingOrder="1"/>
    </xf>
    <xf numFmtId="0" fontId="40" fillId="15" borderId="47"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4" xfId="0" applyFont="1" applyFill="1" applyBorder="1" applyAlignment="1">
      <alignment horizontal="center" vertical="center" wrapText="1" readingOrder="1"/>
    </xf>
    <xf numFmtId="0" fontId="37" fillId="15" borderId="45" xfId="0" applyFont="1" applyFill="1" applyBorder="1" applyAlignment="1">
      <alignment horizontal="center" vertical="center" wrapText="1" readingOrder="1"/>
    </xf>
    <xf numFmtId="0" fontId="37" fillId="3" borderId="42"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9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94" dataDxfId="93">
  <autoFilter ref="B209:C219" xr:uid="{00000000-0009-0000-0100-000001000000}"/>
  <tableColumns count="2">
    <tableColumn id="1" xr3:uid="{00000000-0010-0000-0000-000001000000}" name="Criterios" dataDxfId="92"/>
    <tableColumn id="2" xr3:uid="{00000000-0010-0000-0000-000002000000}" name="Subcriterios" dataDxfId="9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2" zoomScale="110" zoomScaleNormal="110" workbookViewId="0">
      <selection activeCell="E36" sqref="E36:F36"/>
    </sheetView>
  </sheetViews>
  <sheetFormatPr baseColWidth="10" defaultRowHeight="15" x14ac:dyDescent="0.25"/>
  <cols>
    <col min="1" max="1" width="2.85546875" style="81" customWidth="1"/>
    <col min="2" max="3" width="24.7109375" style="81" customWidth="1"/>
    <col min="4" max="4" width="16" style="81" customWidth="1"/>
    <col min="5" max="5" width="24.7109375" style="81" customWidth="1"/>
    <col min="6" max="6" width="27.7109375" style="81" customWidth="1"/>
    <col min="7" max="8" width="24.7109375" style="81" customWidth="1"/>
    <col min="9" max="16384" width="11.42578125" style="81"/>
  </cols>
  <sheetData>
    <row r="1" spans="2:8" ht="15.75" thickBot="1" x14ac:dyDescent="0.3"/>
    <row r="2" spans="2:8" ht="18" x14ac:dyDescent="0.25">
      <c r="B2" s="142" t="s">
        <v>166</v>
      </c>
      <c r="C2" s="143"/>
      <c r="D2" s="143"/>
      <c r="E2" s="143"/>
      <c r="F2" s="143"/>
      <c r="G2" s="143"/>
      <c r="H2" s="144"/>
    </row>
    <row r="3" spans="2:8" x14ac:dyDescent="0.25">
      <c r="B3" s="82"/>
      <c r="C3" s="83"/>
      <c r="D3" s="83"/>
      <c r="E3" s="83"/>
      <c r="F3" s="83"/>
      <c r="G3" s="83"/>
      <c r="H3" s="84"/>
    </row>
    <row r="4" spans="2:8" ht="63" customHeight="1" x14ac:dyDescent="0.25">
      <c r="B4" s="145" t="s">
        <v>209</v>
      </c>
      <c r="C4" s="146"/>
      <c r="D4" s="146"/>
      <c r="E4" s="146"/>
      <c r="F4" s="146"/>
      <c r="G4" s="146"/>
      <c r="H4" s="147"/>
    </row>
    <row r="5" spans="2:8" ht="63" customHeight="1" x14ac:dyDescent="0.25">
      <c r="B5" s="148"/>
      <c r="C5" s="149"/>
      <c r="D5" s="149"/>
      <c r="E5" s="149"/>
      <c r="F5" s="149"/>
      <c r="G5" s="149"/>
      <c r="H5" s="150"/>
    </row>
    <row r="6" spans="2:8" ht="16.5" x14ac:dyDescent="0.25">
      <c r="B6" s="151" t="s">
        <v>164</v>
      </c>
      <c r="C6" s="152"/>
      <c r="D6" s="152"/>
      <c r="E6" s="152"/>
      <c r="F6" s="152"/>
      <c r="G6" s="152"/>
      <c r="H6" s="153"/>
    </row>
    <row r="7" spans="2:8" ht="95.25" customHeight="1" x14ac:dyDescent="0.25">
      <c r="B7" s="161" t="s">
        <v>169</v>
      </c>
      <c r="C7" s="162"/>
      <c r="D7" s="162"/>
      <c r="E7" s="162"/>
      <c r="F7" s="162"/>
      <c r="G7" s="162"/>
      <c r="H7" s="163"/>
    </row>
    <row r="8" spans="2:8" ht="16.5" x14ac:dyDescent="0.25">
      <c r="B8" s="118"/>
      <c r="C8" s="119"/>
      <c r="D8" s="119"/>
      <c r="E8" s="119"/>
      <c r="F8" s="119"/>
      <c r="G8" s="119"/>
      <c r="H8" s="120"/>
    </row>
    <row r="9" spans="2:8" ht="16.5" customHeight="1" x14ac:dyDescent="0.25">
      <c r="B9" s="154" t="s">
        <v>202</v>
      </c>
      <c r="C9" s="155"/>
      <c r="D9" s="155"/>
      <c r="E9" s="155"/>
      <c r="F9" s="155"/>
      <c r="G9" s="155"/>
      <c r="H9" s="156"/>
    </row>
    <row r="10" spans="2:8" ht="44.25" customHeight="1" x14ac:dyDescent="0.25">
      <c r="B10" s="154"/>
      <c r="C10" s="155"/>
      <c r="D10" s="155"/>
      <c r="E10" s="155"/>
      <c r="F10" s="155"/>
      <c r="G10" s="155"/>
      <c r="H10" s="156"/>
    </row>
    <row r="11" spans="2:8" ht="15.75" thickBot="1" x14ac:dyDescent="0.3">
      <c r="B11" s="107"/>
      <c r="C11" s="110"/>
      <c r="D11" s="115"/>
      <c r="E11" s="116"/>
      <c r="F11" s="116"/>
      <c r="G11" s="117"/>
      <c r="H11" s="111"/>
    </row>
    <row r="12" spans="2:8" ht="15.75" thickTop="1" x14ac:dyDescent="0.25">
      <c r="B12" s="107"/>
      <c r="C12" s="157" t="s">
        <v>165</v>
      </c>
      <c r="D12" s="158"/>
      <c r="E12" s="159" t="s">
        <v>203</v>
      </c>
      <c r="F12" s="160"/>
      <c r="G12" s="110"/>
      <c r="H12" s="111"/>
    </row>
    <row r="13" spans="2:8" ht="35.25" customHeight="1" x14ac:dyDescent="0.25">
      <c r="B13" s="107"/>
      <c r="C13" s="164" t="s">
        <v>196</v>
      </c>
      <c r="D13" s="165"/>
      <c r="E13" s="166" t="s">
        <v>201</v>
      </c>
      <c r="F13" s="167"/>
      <c r="G13" s="110"/>
      <c r="H13" s="111"/>
    </row>
    <row r="14" spans="2:8" ht="17.25" customHeight="1" x14ac:dyDescent="0.25">
      <c r="B14" s="107"/>
      <c r="C14" s="164" t="s">
        <v>197</v>
      </c>
      <c r="D14" s="165"/>
      <c r="E14" s="166" t="s">
        <v>199</v>
      </c>
      <c r="F14" s="167"/>
      <c r="G14" s="110"/>
      <c r="H14" s="111"/>
    </row>
    <row r="15" spans="2:8" ht="19.5" customHeight="1" x14ac:dyDescent="0.25">
      <c r="B15" s="107"/>
      <c r="C15" s="164" t="s">
        <v>198</v>
      </c>
      <c r="D15" s="165"/>
      <c r="E15" s="166" t="s">
        <v>200</v>
      </c>
      <c r="F15" s="167"/>
      <c r="G15" s="110"/>
      <c r="H15" s="111"/>
    </row>
    <row r="16" spans="2:8" ht="69.75" customHeight="1" x14ac:dyDescent="0.25">
      <c r="B16" s="107"/>
      <c r="C16" s="164" t="s">
        <v>167</v>
      </c>
      <c r="D16" s="165"/>
      <c r="E16" s="166" t="s">
        <v>168</v>
      </c>
      <c r="F16" s="167"/>
      <c r="G16" s="110"/>
      <c r="H16" s="111"/>
    </row>
    <row r="17" spans="2:8" ht="34.5" customHeight="1" x14ac:dyDescent="0.25">
      <c r="B17" s="107"/>
      <c r="C17" s="168" t="s">
        <v>2</v>
      </c>
      <c r="D17" s="169"/>
      <c r="E17" s="170" t="s">
        <v>210</v>
      </c>
      <c r="F17" s="171"/>
      <c r="G17" s="110"/>
      <c r="H17" s="111"/>
    </row>
    <row r="18" spans="2:8" ht="27.75" customHeight="1" x14ac:dyDescent="0.25">
      <c r="B18" s="107"/>
      <c r="C18" s="168" t="s">
        <v>3</v>
      </c>
      <c r="D18" s="169"/>
      <c r="E18" s="170" t="s">
        <v>211</v>
      </c>
      <c r="F18" s="171"/>
      <c r="G18" s="110"/>
      <c r="H18" s="111"/>
    </row>
    <row r="19" spans="2:8" ht="28.5" customHeight="1" x14ac:dyDescent="0.25">
      <c r="B19" s="107"/>
      <c r="C19" s="168" t="s">
        <v>42</v>
      </c>
      <c r="D19" s="169"/>
      <c r="E19" s="170" t="s">
        <v>212</v>
      </c>
      <c r="F19" s="171"/>
      <c r="G19" s="110"/>
      <c r="H19" s="111"/>
    </row>
    <row r="20" spans="2:8" ht="72.75" customHeight="1" x14ac:dyDescent="0.25">
      <c r="B20" s="107"/>
      <c r="C20" s="168" t="s">
        <v>1</v>
      </c>
      <c r="D20" s="169"/>
      <c r="E20" s="170" t="s">
        <v>213</v>
      </c>
      <c r="F20" s="171"/>
      <c r="G20" s="110"/>
      <c r="H20" s="111"/>
    </row>
    <row r="21" spans="2:8" ht="64.5" customHeight="1" x14ac:dyDescent="0.25">
      <c r="B21" s="107"/>
      <c r="C21" s="168" t="s">
        <v>50</v>
      </c>
      <c r="D21" s="169"/>
      <c r="E21" s="170" t="s">
        <v>171</v>
      </c>
      <c r="F21" s="171"/>
      <c r="G21" s="110"/>
      <c r="H21" s="111"/>
    </row>
    <row r="22" spans="2:8" ht="71.25" customHeight="1" x14ac:dyDescent="0.25">
      <c r="B22" s="107"/>
      <c r="C22" s="168" t="s">
        <v>170</v>
      </c>
      <c r="D22" s="169"/>
      <c r="E22" s="170" t="s">
        <v>172</v>
      </c>
      <c r="F22" s="171"/>
      <c r="G22" s="110"/>
      <c r="H22" s="111"/>
    </row>
    <row r="23" spans="2:8" ht="55.5" customHeight="1" x14ac:dyDescent="0.25">
      <c r="B23" s="107"/>
      <c r="C23" s="175" t="s">
        <v>173</v>
      </c>
      <c r="D23" s="176"/>
      <c r="E23" s="170" t="s">
        <v>174</v>
      </c>
      <c r="F23" s="171"/>
      <c r="G23" s="110"/>
      <c r="H23" s="111"/>
    </row>
    <row r="24" spans="2:8" ht="42" customHeight="1" x14ac:dyDescent="0.25">
      <c r="B24" s="107"/>
      <c r="C24" s="175" t="s">
        <v>48</v>
      </c>
      <c r="D24" s="176"/>
      <c r="E24" s="170" t="s">
        <v>175</v>
      </c>
      <c r="F24" s="171"/>
      <c r="G24" s="110"/>
      <c r="H24" s="111"/>
    </row>
    <row r="25" spans="2:8" ht="59.25" customHeight="1" x14ac:dyDescent="0.25">
      <c r="B25" s="107"/>
      <c r="C25" s="175" t="s">
        <v>163</v>
      </c>
      <c r="D25" s="176"/>
      <c r="E25" s="170" t="s">
        <v>176</v>
      </c>
      <c r="F25" s="171"/>
      <c r="G25" s="110"/>
      <c r="H25" s="111"/>
    </row>
    <row r="26" spans="2:8" ht="23.25" customHeight="1" x14ac:dyDescent="0.25">
      <c r="B26" s="107"/>
      <c r="C26" s="175" t="s">
        <v>12</v>
      </c>
      <c r="D26" s="176"/>
      <c r="E26" s="170" t="s">
        <v>177</v>
      </c>
      <c r="F26" s="171"/>
      <c r="G26" s="110"/>
      <c r="H26" s="111"/>
    </row>
    <row r="27" spans="2:8" ht="30.75" customHeight="1" x14ac:dyDescent="0.25">
      <c r="B27" s="107"/>
      <c r="C27" s="175" t="s">
        <v>181</v>
      </c>
      <c r="D27" s="176"/>
      <c r="E27" s="170" t="s">
        <v>178</v>
      </c>
      <c r="F27" s="171"/>
      <c r="G27" s="110"/>
      <c r="H27" s="111"/>
    </row>
    <row r="28" spans="2:8" ht="35.25" customHeight="1" x14ac:dyDescent="0.25">
      <c r="B28" s="107"/>
      <c r="C28" s="175" t="s">
        <v>182</v>
      </c>
      <c r="D28" s="176"/>
      <c r="E28" s="170" t="s">
        <v>179</v>
      </c>
      <c r="F28" s="171"/>
      <c r="G28" s="110"/>
      <c r="H28" s="111"/>
    </row>
    <row r="29" spans="2:8" ht="33" customHeight="1" x14ac:dyDescent="0.25">
      <c r="B29" s="107"/>
      <c r="C29" s="175" t="s">
        <v>182</v>
      </c>
      <c r="D29" s="176"/>
      <c r="E29" s="170" t="s">
        <v>179</v>
      </c>
      <c r="F29" s="171"/>
      <c r="G29" s="110"/>
      <c r="H29" s="111"/>
    </row>
    <row r="30" spans="2:8" ht="30" customHeight="1" x14ac:dyDescent="0.25">
      <c r="B30" s="107"/>
      <c r="C30" s="175" t="s">
        <v>183</v>
      </c>
      <c r="D30" s="176"/>
      <c r="E30" s="170" t="s">
        <v>180</v>
      </c>
      <c r="F30" s="171"/>
      <c r="G30" s="110"/>
      <c r="H30" s="111"/>
    </row>
    <row r="31" spans="2:8" ht="35.25" customHeight="1" x14ac:dyDescent="0.25">
      <c r="B31" s="107"/>
      <c r="C31" s="175" t="s">
        <v>184</v>
      </c>
      <c r="D31" s="176"/>
      <c r="E31" s="170" t="s">
        <v>185</v>
      </c>
      <c r="F31" s="171"/>
      <c r="G31" s="110"/>
      <c r="H31" s="111"/>
    </row>
    <row r="32" spans="2:8" ht="31.5" customHeight="1" x14ac:dyDescent="0.25">
      <c r="B32" s="107"/>
      <c r="C32" s="175" t="s">
        <v>186</v>
      </c>
      <c r="D32" s="176"/>
      <c r="E32" s="170" t="s">
        <v>187</v>
      </c>
      <c r="F32" s="171"/>
      <c r="G32" s="110"/>
      <c r="H32" s="111"/>
    </row>
    <row r="33" spans="2:8" ht="35.25" customHeight="1" x14ac:dyDescent="0.25">
      <c r="B33" s="107"/>
      <c r="C33" s="175" t="s">
        <v>188</v>
      </c>
      <c r="D33" s="176"/>
      <c r="E33" s="170" t="s">
        <v>189</v>
      </c>
      <c r="F33" s="171"/>
      <c r="G33" s="110"/>
      <c r="H33" s="111"/>
    </row>
    <row r="34" spans="2:8" ht="59.25" customHeight="1" x14ac:dyDescent="0.25">
      <c r="B34" s="107"/>
      <c r="C34" s="175" t="s">
        <v>190</v>
      </c>
      <c r="D34" s="176"/>
      <c r="E34" s="170" t="s">
        <v>191</v>
      </c>
      <c r="F34" s="171"/>
      <c r="G34" s="110"/>
      <c r="H34" s="111"/>
    </row>
    <row r="35" spans="2:8" ht="29.25" customHeight="1" x14ac:dyDescent="0.25">
      <c r="B35" s="107"/>
      <c r="C35" s="175" t="s">
        <v>29</v>
      </c>
      <c r="D35" s="176"/>
      <c r="E35" s="170" t="s">
        <v>192</v>
      </c>
      <c r="F35" s="171"/>
      <c r="G35" s="110"/>
      <c r="H35" s="111"/>
    </row>
    <row r="36" spans="2:8" ht="82.5" customHeight="1" x14ac:dyDescent="0.25">
      <c r="B36" s="107"/>
      <c r="C36" s="175" t="s">
        <v>194</v>
      </c>
      <c r="D36" s="176"/>
      <c r="E36" s="170" t="s">
        <v>193</v>
      </c>
      <c r="F36" s="171"/>
      <c r="G36" s="110"/>
      <c r="H36" s="111"/>
    </row>
    <row r="37" spans="2:8" ht="46.5" customHeight="1" x14ac:dyDescent="0.25">
      <c r="B37" s="107"/>
      <c r="C37" s="175" t="s">
        <v>39</v>
      </c>
      <c r="D37" s="176"/>
      <c r="E37" s="170" t="s">
        <v>195</v>
      </c>
      <c r="F37" s="171"/>
      <c r="G37" s="110"/>
      <c r="H37" s="111"/>
    </row>
    <row r="38" spans="2:8" ht="6.75" customHeight="1" thickBot="1" x14ac:dyDescent="0.3">
      <c r="B38" s="107"/>
      <c r="C38" s="177"/>
      <c r="D38" s="178"/>
      <c r="E38" s="179"/>
      <c r="F38" s="180"/>
      <c r="G38" s="110"/>
      <c r="H38" s="111"/>
    </row>
    <row r="39" spans="2:8" ht="15.75" thickTop="1" x14ac:dyDescent="0.25">
      <c r="B39" s="107"/>
      <c r="C39" s="108"/>
      <c r="D39" s="108"/>
      <c r="E39" s="109"/>
      <c r="F39" s="109"/>
      <c r="G39" s="110"/>
      <c r="H39" s="111"/>
    </row>
    <row r="40" spans="2:8" ht="21" customHeight="1" x14ac:dyDescent="0.25">
      <c r="B40" s="172" t="s">
        <v>204</v>
      </c>
      <c r="C40" s="173"/>
      <c r="D40" s="173"/>
      <c r="E40" s="173"/>
      <c r="F40" s="173"/>
      <c r="G40" s="173"/>
      <c r="H40" s="174"/>
    </row>
    <row r="41" spans="2:8" ht="20.25" customHeight="1" x14ac:dyDescent="0.25">
      <c r="B41" s="172" t="s">
        <v>205</v>
      </c>
      <c r="C41" s="173"/>
      <c r="D41" s="173"/>
      <c r="E41" s="173"/>
      <c r="F41" s="173"/>
      <c r="G41" s="173"/>
      <c r="H41" s="174"/>
    </row>
    <row r="42" spans="2:8" ht="20.25" customHeight="1" x14ac:dyDescent="0.25">
      <c r="B42" s="172" t="s">
        <v>206</v>
      </c>
      <c r="C42" s="173"/>
      <c r="D42" s="173"/>
      <c r="E42" s="173"/>
      <c r="F42" s="173"/>
      <c r="G42" s="173"/>
      <c r="H42" s="174"/>
    </row>
    <row r="43" spans="2:8" ht="20.25" customHeight="1" x14ac:dyDescent="0.25">
      <c r="B43" s="172" t="s">
        <v>207</v>
      </c>
      <c r="C43" s="173"/>
      <c r="D43" s="173"/>
      <c r="E43" s="173"/>
      <c r="F43" s="173"/>
      <c r="G43" s="173"/>
      <c r="H43" s="174"/>
    </row>
    <row r="44" spans="2:8" x14ac:dyDescent="0.25">
      <c r="B44" s="172" t="s">
        <v>208</v>
      </c>
      <c r="C44" s="173"/>
      <c r="D44" s="173"/>
      <c r="E44" s="173"/>
      <c r="F44" s="173"/>
      <c r="G44" s="173"/>
      <c r="H44" s="174"/>
    </row>
    <row r="45" spans="2:8" ht="15.75" thickBot="1" x14ac:dyDescent="0.3">
      <c r="B45" s="112"/>
      <c r="C45" s="113"/>
      <c r="D45" s="113"/>
      <c r="E45" s="113"/>
      <c r="F45" s="113"/>
      <c r="G45" s="113"/>
      <c r="H45" s="114"/>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62"/>
  <sheetViews>
    <sheetView tabSelected="1" zoomScale="98" zoomScaleNormal="98" workbookViewId="0">
      <selection activeCell="E10" sqref="E10:E13"/>
    </sheetView>
  </sheetViews>
  <sheetFormatPr baseColWidth="10" defaultRowHeight="16.5" x14ac:dyDescent="0.3"/>
  <cols>
    <col min="1" max="1" width="4" style="2" bestFit="1" customWidth="1"/>
    <col min="2" max="2" width="14.140625" style="2" customWidth="1"/>
    <col min="3" max="3" width="13.140625" style="2" customWidth="1"/>
    <col min="4" max="4" width="21.28515625" style="2" customWidth="1"/>
    <col min="5" max="5" width="37.140625" style="1" customWidth="1"/>
    <col min="6" max="6" width="19" style="4" customWidth="1"/>
    <col min="7" max="7" width="17.85546875" style="1" customWidth="1"/>
    <col min="8" max="8" width="12.5703125" style="1" customWidth="1"/>
    <col min="9" max="9" width="4.7109375" style="1" bestFit="1" customWidth="1"/>
    <col min="10" max="10" width="27.28515625" style="1" bestFit="1" customWidth="1"/>
    <col min="11" max="11" width="38.7109375" style="1" bestFit="1" customWidth="1"/>
    <col min="12" max="12" width="9.85546875" style="1" bestFit="1" customWidth="1"/>
    <col min="13" max="13" width="4.7109375" style="1" bestFit="1" customWidth="1"/>
    <col min="14" max="14" width="10.7109375" style="1" customWidth="1"/>
    <col min="15" max="15" width="3.7109375" style="1" customWidth="1"/>
    <col min="16" max="16" width="45.42578125" style="1" customWidth="1"/>
    <col min="17" max="17" width="11" style="1" bestFit="1" customWidth="1"/>
    <col min="18" max="19" width="4.42578125" style="1" bestFit="1" customWidth="1"/>
    <col min="20" max="20" width="4.7109375" style="1" bestFit="1" customWidth="1"/>
    <col min="21" max="23" width="4.42578125" style="1" bestFit="1" customWidth="1"/>
    <col min="24" max="24" width="38.28515625" style="1" hidden="1" customWidth="1"/>
    <col min="25" max="25" width="7.140625" style="1" customWidth="1"/>
    <col min="26" max="26" width="4.7109375" style="1" bestFit="1" customWidth="1"/>
    <col min="27" max="27" width="4.7109375" style="1" customWidth="1"/>
    <col min="28" max="28" width="4.7109375" style="1" bestFit="1" customWidth="1"/>
    <col min="29" max="29" width="4.28515625" style="1" customWidth="1"/>
    <col min="30" max="30" width="4.42578125" style="1" customWidth="1"/>
    <col min="31" max="31" width="56.28515625" style="1" customWidth="1"/>
    <col min="32" max="32" width="18.85546875" style="1" customWidth="1"/>
    <col min="33" max="33" width="14.7109375" style="1" customWidth="1"/>
    <col min="34" max="34" width="12.85546875" style="1" customWidth="1"/>
    <col min="35" max="35" width="18.5703125" style="1" customWidth="1"/>
    <col min="36" max="36" width="8" style="1" bestFit="1" customWidth="1"/>
    <col min="37" max="16384" width="11.42578125" style="1"/>
  </cols>
  <sheetData>
    <row r="1" spans="1:68" ht="16.5" customHeight="1" x14ac:dyDescent="0.3">
      <c r="A1" s="229" t="s">
        <v>144</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1"/>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232"/>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4"/>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x14ac:dyDescent="0.3">
      <c r="A3" s="26"/>
      <c r="B3" s="27"/>
      <c r="C3" s="26"/>
      <c r="D3" s="26"/>
      <c r="E3" s="7"/>
      <c r="F3" s="25"/>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3.25" x14ac:dyDescent="0.3">
      <c r="A4" s="206" t="s">
        <v>43</v>
      </c>
      <c r="B4" s="207"/>
      <c r="C4" s="225" t="s">
        <v>221</v>
      </c>
      <c r="D4" s="226"/>
      <c r="E4" s="226"/>
      <c r="F4" s="226"/>
      <c r="G4" s="226"/>
      <c r="H4" s="226"/>
      <c r="I4" s="226"/>
      <c r="J4" s="226"/>
      <c r="K4" s="226"/>
      <c r="L4" s="226"/>
      <c r="M4" s="226"/>
      <c r="N4" s="227"/>
      <c r="O4" s="228"/>
      <c r="P4" s="228"/>
      <c r="Q4" s="228"/>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33.75" customHeight="1" x14ac:dyDescent="0.3">
      <c r="A5" s="206" t="s">
        <v>130</v>
      </c>
      <c r="B5" s="207"/>
      <c r="C5" s="213" t="s">
        <v>215</v>
      </c>
      <c r="D5" s="214"/>
      <c r="E5" s="214"/>
      <c r="F5" s="214"/>
      <c r="G5" s="214"/>
      <c r="H5" s="214"/>
      <c r="I5" s="214"/>
      <c r="J5" s="214"/>
      <c r="K5" s="214"/>
      <c r="L5" s="214"/>
      <c r="M5" s="214"/>
      <c r="N5" s="215"/>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39.75" customHeight="1" x14ac:dyDescent="0.3">
      <c r="A6" s="206" t="s">
        <v>44</v>
      </c>
      <c r="B6" s="207"/>
      <c r="C6" s="213" t="s">
        <v>222</v>
      </c>
      <c r="D6" s="214"/>
      <c r="E6" s="214"/>
      <c r="F6" s="214"/>
      <c r="G6" s="214"/>
      <c r="H6" s="214"/>
      <c r="I6" s="214"/>
      <c r="J6" s="214"/>
      <c r="K6" s="214"/>
      <c r="L6" s="214"/>
      <c r="M6" s="214"/>
      <c r="N6" s="215"/>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x14ac:dyDescent="0.3">
      <c r="A7" s="235" t="s">
        <v>139</v>
      </c>
      <c r="B7" s="236"/>
      <c r="C7" s="236"/>
      <c r="D7" s="236"/>
      <c r="E7" s="236"/>
      <c r="F7" s="236"/>
      <c r="G7" s="237"/>
      <c r="H7" s="235" t="s">
        <v>140</v>
      </c>
      <c r="I7" s="236"/>
      <c r="J7" s="236"/>
      <c r="K7" s="236"/>
      <c r="L7" s="236"/>
      <c r="M7" s="236"/>
      <c r="N7" s="237"/>
      <c r="O7" s="235" t="s">
        <v>141</v>
      </c>
      <c r="P7" s="236"/>
      <c r="Q7" s="236"/>
      <c r="R7" s="236"/>
      <c r="S7" s="236"/>
      <c r="T7" s="236"/>
      <c r="U7" s="236"/>
      <c r="V7" s="236"/>
      <c r="W7" s="237"/>
      <c r="X7" s="235" t="s">
        <v>142</v>
      </c>
      <c r="Y7" s="236"/>
      <c r="Z7" s="236"/>
      <c r="AA7" s="236"/>
      <c r="AB7" s="236"/>
      <c r="AC7" s="236"/>
      <c r="AD7" s="237"/>
      <c r="AE7" s="235" t="s">
        <v>34</v>
      </c>
      <c r="AF7" s="236"/>
      <c r="AG7" s="236"/>
      <c r="AH7" s="236"/>
      <c r="AI7" s="236"/>
      <c r="AJ7" s="23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16.5" customHeight="1" x14ac:dyDescent="0.3">
      <c r="A8" s="208" t="s">
        <v>0</v>
      </c>
      <c r="B8" s="204" t="s">
        <v>2</v>
      </c>
      <c r="C8" s="198" t="s">
        <v>3</v>
      </c>
      <c r="D8" s="198" t="s">
        <v>42</v>
      </c>
      <c r="E8" s="210" t="s">
        <v>1</v>
      </c>
      <c r="F8" s="205" t="s">
        <v>50</v>
      </c>
      <c r="G8" s="198" t="s">
        <v>135</v>
      </c>
      <c r="H8" s="200" t="s">
        <v>33</v>
      </c>
      <c r="I8" s="201" t="s">
        <v>5</v>
      </c>
      <c r="J8" s="205" t="s">
        <v>87</v>
      </c>
      <c r="K8" s="205" t="s">
        <v>92</v>
      </c>
      <c r="L8" s="203" t="s">
        <v>45</v>
      </c>
      <c r="M8" s="201" t="s">
        <v>5</v>
      </c>
      <c r="N8" s="198" t="s">
        <v>48</v>
      </c>
      <c r="O8" s="211" t="s">
        <v>11</v>
      </c>
      <c r="P8" s="199" t="s">
        <v>163</v>
      </c>
      <c r="Q8" s="205" t="s">
        <v>12</v>
      </c>
      <c r="R8" s="199" t="s">
        <v>8</v>
      </c>
      <c r="S8" s="199"/>
      <c r="T8" s="199"/>
      <c r="U8" s="199"/>
      <c r="V8" s="199"/>
      <c r="W8" s="199"/>
      <c r="X8" s="197" t="s">
        <v>138</v>
      </c>
      <c r="Y8" s="197" t="s">
        <v>46</v>
      </c>
      <c r="Z8" s="197" t="s">
        <v>5</v>
      </c>
      <c r="AA8" s="197" t="s">
        <v>47</v>
      </c>
      <c r="AB8" s="197" t="s">
        <v>5</v>
      </c>
      <c r="AC8" s="197" t="s">
        <v>49</v>
      </c>
      <c r="AD8" s="211" t="s">
        <v>29</v>
      </c>
      <c r="AE8" s="199" t="s">
        <v>34</v>
      </c>
      <c r="AF8" s="199" t="s">
        <v>35</v>
      </c>
      <c r="AG8" s="199" t="s">
        <v>36</v>
      </c>
      <c r="AH8" s="199" t="s">
        <v>38</v>
      </c>
      <c r="AI8" s="199" t="s">
        <v>37</v>
      </c>
      <c r="AJ8" s="199" t="s">
        <v>39</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3" customFormat="1" ht="94.5" customHeight="1" x14ac:dyDescent="0.25">
      <c r="A9" s="209"/>
      <c r="B9" s="204"/>
      <c r="C9" s="199"/>
      <c r="D9" s="199"/>
      <c r="E9" s="204"/>
      <c r="F9" s="198"/>
      <c r="G9" s="199"/>
      <c r="H9" s="198"/>
      <c r="I9" s="202"/>
      <c r="J9" s="198"/>
      <c r="K9" s="198"/>
      <c r="L9" s="202"/>
      <c r="M9" s="202"/>
      <c r="N9" s="199"/>
      <c r="O9" s="212"/>
      <c r="P9" s="199"/>
      <c r="Q9" s="198"/>
      <c r="R9" s="6" t="s">
        <v>13</v>
      </c>
      <c r="S9" s="6" t="s">
        <v>17</v>
      </c>
      <c r="T9" s="6" t="s">
        <v>28</v>
      </c>
      <c r="U9" s="6" t="s">
        <v>18</v>
      </c>
      <c r="V9" s="6" t="s">
        <v>21</v>
      </c>
      <c r="W9" s="6" t="s">
        <v>24</v>
      </c>
      <c r="X9" s="197"/>
      <c r="Y9" s="197"/>
      <c r="Z9" s="197"/>
      <c r="AA9" s="197"/>
      <c r="AB9" s="197"/>
      <c r="AC9" s="197"/>
      <c r="AD9" s="212"/>
      <c r="AE9" s="199"/>
      <c r="AF9" s="199"/>
      <c r="AG9" s="199"/>
      <c r="AH9" s="199"/>
      <c r="AI9" s="199"/>
      <c r="AJ9" s="199"/>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row>
    <row r="10" spans="1:68" s="135" customFormat="1" ht="57" customHeight="1" x14ac:dyDescent="0.25">
      <c r="A10" s="187">
        <v>1</v>
      </c>
      <c r="B10" s="181" t="s">
        <v>134</v>
      </c>
      <c r="C10" s="189" t="s">
        <v>214</v>
      </c>
      <c r="D10" s="189" t="s">
        <v>230</v>
      </c>
      <c r="E10" s="189" t="s">
        <v>231</v>
      </c>
      <c r="F10" s="181" t="s">
        <v>127</v>
      </c>
      <c r="G10" s="183">
        <v>165</v>
      </c>
      <c r="H10" s="185" t="str">
        <f>IF(G10&lt;=0,"",IF(G10&lt;=2,"Muy Baja",IF(G10&lt;=24,"Baja",IF(G10&lt;=500,"Media",IF(G10&lt;=5000,"Alta","Muy Alta")))))</f>
        <v>Media</v>
      </c>
      <c r="I10" s="193">
        <f>IF(H10="","",IF(H10="Muy Baja",0.2,IF(H10="Baja",0.4,IF(H10="Media",0.6,IF(H10="Alta",0.8,IF(H10="Muy Alta",1,))))))</f>
        <v>0.6</v>
      </c>
      <c r="J10" s="195" t="s">
        <v>224</v>
      </c>
      <c r="K10" s="193" t="str">
        <f>IF(NOT(ISERROR(MATCH(J10,'Tabla Impacto'!$B$221:$B$223,0))),'Tabla Impacto'!$F$223&amp;"Por favor no seleccionar los criterios de impacto(Afectación Económica o presupuestal y Pérdida Reputacional)",J10)</f>
        <v xml:space="preserve">     El riesgo afecta la imagen de  la entidad con efecto publicitario sostenido a nivel de sector administrativo, nivel departamental o municipal</v>
      </c>
      <c r="L10" s="185" t="str">
        <f>IF(OR(K14='Tabla Impacto'!$C$11,K14='Tabla Impacto'!$D$11),"Leve",IF(OR(K14='Tabla Impacto'!$C$12,K14='Tabla Impacto'!$D$12),"Menor",IF(OR(K14='Tabla Impacto'!$C$13,K14='Tabla Impacto'!$D$13),"Moderado",IF(OR(K14='Tabla Impacto'!$C$14,K14='Tabla Impacto'!$D$14),"Mayor",IF(OR(K14='Tabla Impacto'!$C$15,K14='Tabla Impacto'!$D$15),"Catastrófico","")))))</f>
        <v>Moderado</v>
      </c>
      <c r="M10" s="193">
        <f>IF(L14="","",IF(L14="Leve",0.2,IF(L14="Menor",0.4,IF(L14="Moderado",0.6,IF(L14="Mayor",0.8,IF(L14="Catastrófico",1,))))))</f>
        <v>0.6</v>
      </c>
      <c r="N10" s="191"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0" s="121">
        <v>1</v>
      </c>
      <c r="P10" s="122" t="s">
        <v>256</v>
      </c>
      <c r="Q10" s="123" t="str">
        <f>IF(OR(R10="Preventivo",R10="Detectivo"),"Probabilidad",IF(R10="Correctivo","Impacto",""))</f>
        <v>Impacto</v>
      </c>
      <c r="R10" s="124" t="s">
        <v>16</v>
      </c>
      <c r="S10" s="124" t="s">
        <v>9</v>
      </c>
      <c r="T10" s="125" t="str">
        <f>IF(AND(R10="Preventivo",S10="Automático"),"50%",IF(AND(R10="Preventivo",S10="Manual"),"40%",IF(AND(R10="Detectivo",S10="Automático"),"40%",IF(AND(R10="Detectivo",S10="Manual"),"30%",IF(AND(R10="Correctivo",S10="Automático"),"35%",IF(AND(R10="Correctivo",S10="Manual"),"25%",""))))))</f>
        <v>25%</v>
      </c>
      <c r="U10" s="124" t="s">
        <v>19</v>
      </c>
      <c r="V10" s="124" t="s">
        <v>22</v>
      </c>
      <c r="W10" s="124" t="s">
        <v>119</v>
      </c>
      <c r="X10" s="126">
        <f>IFERROR(IF(Q10="Probabilidad",(I10-(+I10*T10)),IF(Q10="Impacto",I10,"")),"")</f>
        <v>0.6</v>
      </c>
      <c r="Y10" s="127" t="str">
        <f>IFERROR(IF(X10="","",IF(X10&lt;=0.2,"Muy Baja",IF(X10&lt;=0.4,"Baja",IF(X10&lt;=0.6,"Media",IF(X10&lt;=0.8,"Alta","Muy Alta"))))),"")</f>
        <v>Media</v>
      </c>
      <c r="Z10" s="128">
        <f>+X10</f>
        <v>0.6</v>
      </c>
      <c r="AA10" s="127" t="str">
        <f>IFERROR(IF(AB10="","",IF(AB10&lt;=0.2,"Leve",IF(AB10&lt;=0.4,"Menor",IF(AB10&lt;=0.6,"Moderado",IF(AB10&lt;=0.8,"Mayor","Catastrófico"))))),"")</f>
        <v>Moderado</v>
      </c>
      <c r="AB10" s="128">
        <f>IFERROR(IF(Q10="Impacto",(M10-(+M10*T10)),IF(Q10="Probabilidad",M10,"")),"")</f>
        <v>0.44999999999999996</v>
      </c>
      <c r="AC10" s="129"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0" t="s">
        <v>137</v>
      </c>
      <c r="AE10" s="131"/>
      <c r="AF10" s="132"/>
      <c r="AG10" s="133"/>
      <c r="AH10" s="133"/>
      <c r="AI10" s="131"/>
      <c r="AJ10" s="132" t="s">
        <v>41</v>
      </c>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row>
    <row r="11" spans="1:68" s="137" customFormat="1" ht="59.25" customHeight="1" x14ac:dyDescent="0.3">
      <c r="A11" s="188"/>
      <c r="B11" s="182"/>
      <c r="C11" s="190"/>
      <c r="D11" s="190"/>
      <c r="E11" s="190"/>
      <c r="F11" s="182"/>
      <c r="G11" s="184"/>
      <c r="H11" s="186"/>
      <c r="I11" s="194"/>
      <c r="J11" s="196"/>
      <c r="K11" s="194">
        <f>IF(NOT(ISERROR(MATCH(J11,_xlfn.ANCHORARRAY(E18),0))),#REF!&amp;"Por favor no seleccionar los criterios de impacto",J11)</f>
        <v>0</v>
      </c>
      <c r="L11" s="186"/>
      <c r="M11" s="194"/>
      <c r="N11" s="192"/>
      <c r="O11" s="121">
        <v>2</v>
      </c>
      <c r="P11" s="122" t="s">
        <v>250</v>
      </c>
      <c r="Q11" s="123" t="str">
        <f>IF(OR(R11="Preventivo",R11="Detectivo"),"Probabilidad",IF(R11="Correctivo","Impacto",""))</f>
        <v>Probabilidad</v>
      </c>
      <c r="R11" s="124" t="s">
        <v>14</v>
      </c>
      <c r="S11" s="124" t="s">
        <v>9</v>
      </c>
      <c r="T11" s="125" t="str">
        <f t="shared" ref="T11:T13" si="0">IF(AND(R11="Preventivo",S11="Automático"),"50%",IF(AND(R11="Preventivo",S11="Manual"),"40%",IF(AND(R11="Detectivo",S11="Automático"),"40%",IF(AND(R11="Detectivo",S11="Manual"),"30%",IF(AND(R11="Correctivo",S11="Automático"),"35%",IF(AND(R11="Correctivo",S11="Manual"),"25%",""))))))</f>
        <v>40%</v>
      </c>
      <c r="U11" s="124" t="s">
        <v>19</v>
      </c>
      <c r="V11" s="124" t="s">
        <v>22</v>
      </c>
      <c r="W11" s="124" t="s">
        <v>119</v>
      </c>
      <c r="X11" s="126">
        <f>IFERROR(IF(AND(Q10="Probabilidad",Q11="Probabilidad"),(Z10-(+Z10*T11)),IF(Q11="Probabilidad",(I10-(+I10*T11)),IF(Q11="Impacto",Z10,""))),"")</f>
        <v>0.36</v>
      </c>
      <c r="Y11" s="127" t="str">
        <f t="shared" ref="Y11:Y59" si="1">IFERROR(IF(X11="","",IF(X11&lt;=0.2,"Muy Baja",IF(X11&lt;=0.4,"Baja",IF(X11&lt;=0.6,"Media",IF(X11&lt;=0.8,"Alta","Muy Alta"))))),"")</f>
        <v>Baja</v>
      </c>
      <c r="Z11" s="128">
        <f t="shared" ref="Z11:Z13" si="2">+X11</f>
        <v>0.36</v>
      </c>
      <c r="AA11" s="127" t="str">
        <f t="shared" ref="AA11:AA59" si="3">IFERROR(IF(AB11="","",IF(AB11&lt;=0.2,"Leve",IF(AB11&lt;=0.4,"Menor",IF(AB11&lt;=0.6,"Moderado",IF(AB11&lt;=0.8,"Mayor","Catastrófico"))))),"")</f>
        <v>Moderado</v>
      </c>
      <c r="AB11" s="128">
        <f>IFERROR(IF(AND(Q10="Impacto",Q11="Impacto"),(AB10-(+AB10*T11)),IF(Q11="Impacto",(M10-(+M10*T11)),IF(Q11="Probabilidad",AB10,""))),"")</f>
        <v>0.44999999999999996</v>
      </c>
      <c r="AC11" s="129" t="str">
        <f t="shared" ref="AC11:AC12"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0" t="s">
        <v>137</v>
      </c>
      <c r="AE11" s="131"/>
      <c r="AF11" s="132"/>
      <c r="AG11" s="133"/>
      <c r="AH11" s="133"/>
      <c r="AI11" s="131"/>
      <c r="AJ11" s="132" t="s">
        <v>41</v>
      </c>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row>
    <row r="12" spans="1:68" s="137" customFormat="1" ht="57" customHeight="1" x14ac:dyDescent="0.3">
      <c r="A12" s="188"/>
      <c r="B12" s="182"/>
      <c r="C12" s="190"/>
      <c r="D12" s="190"/>
      <c r="E12" s="190"/>
      <c r="F12" s="182"/>
      <c r="G12" s="184"/>
      <c r="H12" s="186"/>
      <c r="I12" s="194"/>
      <c r="J12" s="196"/>
      <c r="K12" s="194">
        <f>IF(NOT(ISERROR(MATCH(J12,_xlfn.ANCHORARRAY(E19),0))),#REF!&amp;"Por favor no seleccionar los criterios de impacto",J12)</f>
        <v>0</v>
      </c>
      <c r="L12" s="186"/>
      <c r="M12" s="194"/>
      <c r="N12" s="192"/>
      <c r="O12" s="121">
        <v>3</v>
      </c>
      <c r="P12" s="138" t="s">
        <v>232</v>
      </c>
      <c r="Q12" s="123" t="str">
        <f>IF(OR(R12="Preventivo",R12="Detectivo"),"Probabilidad",IF(R12="Correctivo","Impacto",""))</f>
        <v>Probabilidad</v>
      </c>
      <c r="R12" s="124" t="s">
        <v>14</v>
      </c>
      <c r="S12" s="124" t="s">
        <v>9</v>
      </c>
      <c r="T12" s="125" t="str">
        <f t="shared" si="0"/>
        <v>40%</v>
      </c>
      <c r="U12" s="124" t="s">
        <v>19</v>
      </c>
      <c r="V12" s="124" t="s">
        <v>22</v>
      </c>
      <c r="W12" s="124" t="s">
        <v>119</v>
      </c>
      <c r="X12" s="126">
        <f>IFERROR(IF(AND(Q11="Probabilidad",Q12="Probabilidad"),(Z11-(+Z11*T12)),IF(AND(Q11="Impacto",Q12="Probabilidad"),(Z10-(+Z10*T12)),IF(Q12="Impacto",Z11,""))),"")</f>
        <v>0.216</v>
      </c>
      <c r="Y12" s="127" t="str">
        <f t="shared" si="1"/>
        <v>Baja</v>
      </c>
      <c r="Z12" s="128">
        <f t="shared" si="2"/>
        <v>0.216</v>
      </c>
      <c r="AA12" s="127" t="str">
        <f t="shared" si="3"/>
        <v>Moderado</v>
      </c>
      <c r="AB12" s="128">
        <f>IFERROR(IF(AND(Q11="Impacto",Q12="Impacto"),(AB11-(+AB11*T12)),IF(AND(Q11="Probabilidad",Q12="Impacto"),(AB10-(+AB10*T12)),IF(Q12="Probabilidad",AB11,""))),"")</f>
        <v>0.44999999999999996</v>
      </c>
      <c r="AC12" s="129" t="str">
        <f t="shared" si="4"/>
        <v>Moderado</v>
      </c>
      <c r="AD12" s="130" t="s">
        <v>136</v>
      </c>
      <c r="AE12" s="140" t="s">
        <v>259</v>
      </c>
      <c r="AF12" s="131" t="s">
        <v>219</v>
      </c>
      <c r="AG12" s="141" t="s">
        <v>245</v>
      </c>
      <c r="AH12" s="133"/>
      <c r="AI12" s="131"/>
      <c r="AJ12" s="132" t="s">
        <v>41</v>
      </c>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row>
    <row r="13" spans="1:68" s="137" customFormat="1" ht="58.5" customHeight="1" x14ac:dyDescent="0.3">
      <c r="A13" s="188"/>
      <c r="B13" s="182"/>
      <c r="C13" s="190"/>
      <c r="D13" s="190"/>
      <c r="E13" s="190"/>
      <c r="F13" s="182"/>
      <c r="G13" s="184"/>
      <c r="H13" s="186"/>
      <c r="I13" s="194"/>
      <c r="J13" s="196"/>
      <c r="K13" s="194">
        <f>IF(NOT(ISERROR(MATCH(J13,_xlfn.ANCHORARRAY(#REF!),0))),#REF!&amp;"Por favor no seleccionar los criterios de impacto",J13)</f>
        <v>0</v>
      </c>
      <c r="L13" s="186"/>
      <c r="M13" s="194"/>
      <c r="N13" s="192"/>
      <c r="O13" s="121">
        <v>4</v>
      </c>
      <c r="P13" s="122" t="s">
        <v>244</v>
      </c>
      <c r="Q13" s="123" t="str">
        <f t="shared" ref="Q13" si="5">IF(OR(R13="Preventivo",R13="Detectivo"),"Probabilidad",IF(R13="Correctivo","Impacto",""))</f>
        <v>Probabilidad</v>
      </c>
      <c r="R13" s="124" t="s">
        <v>15</v>
      </c>
      <c r="S13" s="124" t="s">
        <v>9</v>
      </c>
      <c r="T13" s="125" t="str">
        <f t="shared" si="0"/>
        <v>30%</v>
      </c>
      <c r="U13" s="124" t="s">
        <v>19</v>
      </c>
      <c r="V13" s="124" t="s">
        <v>22</v>
      </c>
      <c r="W13" s="124" t="s">
        <v>119</v>
      </c>
      <c r="X13" s="126">
        <f t="shared" ref="X13" si="6">IFERROR(IF(AND(Q12="Probabilidad",Q13="Probabilidad"),(Z12-(+Z12*T13)),IF(AND(Q12="Impacto",Q13="Probabilidad"),(Z11-(+Z11*T13)),IF(Q13="Impacto",Z12,""))),"")</f>
        <v>0.1512</v>
      </c>
      <c r="Y13" s="127" t="str">
        <f t="shared" si="1"/>
        <v>Muy Baja</v>
      </c>
      <c r="Z13" s="128">
        <f t="shared" si="2"/>
        <v>0.1512</v>
      </c>
      <c r="AA13" s="127" t="str">
        <f t="shared" si="3"/>
        <v>Moderado</v>
      </c>
      <c r="AB13" s="128">
        <f t="shared" ref="AB13" si="7">IFERROR(IF(AND(Q12="Impacto",Q13="Impacto"),(AB12-(+AB12*T13)),IF(AND(Q12="Probabilidad",Q13="Impacto"),(AB11-(+AB11*T13)),IF(Q13="Probabilidad",AB12,""))),"")</f>
        <v>0.44999999999999996</v>
      </c>
      <c r="AC13" s="129"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0" t="s">
        <v>136</v>
      </c>
      <c r="AE13" s="140" t="s">
        <v>233</v>
      </c>
      <c r="AF13" s="131" t="s">
        <v>219</v>
      </c>
      <c r="AG13" s="141" t="s">
        <v>246</v>
      </c>
      <c r="AH13" s="133"/>
      <c r="AI13" s="131"/>
      <c r="AJ13" s="132" t="s">
        <v>41</v>
      </c>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row>
    <row r="14" spans="1:68" s="137" customFormat="1" ht="69.75" customHeight="1" x14ac:dyDescent="0.3">
      <c r="A14" s="187">
        <v>2</v>
      </c>
      <c r="B14" s="181" t="s">
        <v>132</v>
      </c>
      <c r="C14" s="189" t="s">
        <v>216</v>
      </c>
      <c r="D14" s="189" t="s">
        <v>242</v>
      </c>
      <c r="E14" s="189" t="s">
        <v>243</v>
      </c>
      <c r="F14" s="181" t="s">
        <v>226</v>
      </c>
      <c r="G14" s="183">
        <v>165</v>
      </c>
      <c r="H14" s="185" t="str">
        <f>IF(G14&lt;=0,"",IF(G14&lt;=2,"Muy Baja",IF(G14&lt;=24,"Baja",IF(G14&lt;=500,"Media",IF(G14&lt;=5000,"Alta","Muy Alta")))))</f>
        <v>Media</v>
      </c>
      <c r="I14" s="193">
        <f>IF(H14="","",IF(H14="Muy Baja",0.2,IF(H14="Baja",0.4,IF(H14="Media",0.6,IF(H14="Alta",0.8,IF(H14="Muy Alta",1,))))))</f>
        <v>0.6</v>
      </c>
      <c r="J14" s="216" t="s">
        <v>155</v>
      </c>
      <c r="K14" s="193" t="str">
        <f>IF(NOT(ISERROR(MATCH(J14,'Tabla Impacto'!$B$221:$B$223,0))),'Tabla Impacto'!$F$223&amp;"Por favor no seleccionar los criterios de impacto(Afectación Económica o presupuestal y Pérdida Reputacional)",J14)</f>
        <v xml:space="preserve">     El riesgo afecta la imagen de la entidad con algunos usuarios de relevancia frente al logro de los objetivos</v>
      </c>
      <c r="L14" s="185" t="str">
        <f>IF(OR(K14='Tabla Impacto'!$C$11,K14='Tabla Impacto'!$D$11),"Leve",IF(OR(K14='Tabla Impacto'!$C$12,K14='Tabla Impacto'!$D$12),"Menor",IF(OR(K14='Tabla Impacto'!$C$13,K14='Tabla Impacto'!$D$13),"Moderado",IF(OR(K14='Tabla Impacto'!$C$14,K14='Tabla Impacto'!$D$14),"Mayor",IF(OR(K14='Tabla Impacto'!$C$15,K14='Tabla Impacto'!$D$15),"Catastrófico","")))))</f>
        <v>Moderado</v>
      </c>
      <c r="M14" s="193">
        <f>IF(L14="","",IF(L14="Leve",0.2,IF(L14="Menor",0.4,IF(L14="Moderado",0.6,IF(L14="Mayor",0.8,IF(L14="Catastrófico",1,))))))</f>
        <v>0.6</v>
      </c>
      <c r="N14" s="191"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4" s="121">
        <v>1</v>
      </c>
      <c r="P14" s="122" t="s">
        <v>239</v>
      </c>
      <c r="Q14" s="123" t="str">
        <f>IF(OR(R14="Preventivo",R14="Detectivo"),"Probabilidad",IF(R14="Correctivo","Impacto",""))</f>
        <v>Impacto</v>
      </c>
      <c r="R14" s="124" t="s">
        <v>16</v>
      </c>
      <c r="S14" s="124" t="s">
        <v>9</v>
      </c>
      <c r="T14" s="125" t="str">
        <f>IF(AND(R14="Preventivo",S14="Automático"),"50%",IF(AND(R14="Preventivo",S14="Manual"),"40%",IF(AND(R14="Detectivo",S14="Automático"),"40%",IF(AND(R14="Detectivo",S14="Manual"),"30%",IF(AND(R14="Correctivo",S14="Automático"),"35%",IF(AND(R14="Correctivo",S14="Manual"),"25%",""))))))</f>
        <v>25%</v>
      </c>
      <c r="U14" s="124" t="s">
        <v>19</v>
      </c>
      <c r="V14" s="124" t="s">
        <v>22</v>
      </c>
      <c r="W14" s="124" t="s">
        <v>119</v>
      </c>
      <c r="X14" s="126">
        <f>IFERROR(IF(Q14="Probabilidad",(I14-(+I14*T14)),IF(Q14="Impacto",I14,"")),"")</f>
        <v>0.6</v>
      </c>
      <c r="Y14" s="127" t="str">
        <f>IFERROR(IF(X14="","",IF(X14&lt;=0.2,"Muy Baja",IF(X14&lt;=0.4,"Baja",IF(X14&lt;=0.6,"Media",IF(X14&lt;=0.8,"Alta","Muy Alta"))))),"")</f>
        <v>Media</v>
      </c>
      <c r="Z14" s="128">
        <f>+X14</f>
        <v>0.6</v>
      </c>
      <c r="AA14" s="127" t="str">
        <f>IFERROR(IF(AB14="","",IF(AB14&lt;=0.2,"Leve",IF(AB14&lt;=0.4,"Menor",IF(AB14&lt;=0.6,"Moderado",IF(AB14&lt;=0.8,"Mayor","Catastrófico"))))),"")</f>
        <v>Moderado</v>
      </c>
      <c r="AB14" s="128">
        <f>IFERROR(IF(Q14="Impacto",(M14-(+M14*T14)),IF(Q14="Probabilidad",M14,"")),"")</f>
        <v>0.44999999999999996</v>
      </c>
      <c r="AC14" s="129"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130" t="s">
        <v>136</v>
      </c>
      <c r="AE14" s="140" t="s">
        <v>258</v>
      </c>
      <c r="AF14" s="132" t="s">
        <v>218</v>
      </c>
      <c r="AG14" s="133" t="s">
        <v>240</v>
      </c>
      <c r="AH14" s="133"/>
      <c r="AI14" s="131"/>
      <c r="AJ14" s="132" t="s">
        <v>41</v>
      </c>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row>
    <row r="15" spans="1:68" s="137" customFormat="1" ht="58.5" customHeight="1" x14ac:dyDescent="0.3">
      <c r="A15" s="188"/>
      <c r="B15" s="182"/>
      <c r="C15" s="190"/>
      <c r="D15" s="190"/>
      <c r="E15" s="190"/>
      <c r="F15" s="182"/>
      <c r="G15" s="184"/>
      <c r="H15" s="186"/>
      <c r="I15" s="194"/>
      <c r="J15" s="217"/>
      <c r="K15" s="194">
        <f>IF(NOT(ISERROR(MATCH(J15,_xlfn.ANCHORARRAY(E20),0))),I22&amp;"Por favor no seleccionar los criterios de impacto",J15)</f>
        <v>0</v>
      </c>
      <c r="L15" s="186"/>
      <c r="M15" s="194"/>
      <c r="N15" s="192"/>
      <c r="O15" s="121">
        <v>2</v>
      </c>
      <c r="P15" s="122" t="s">
        <v>251</v>
      </c>
      <c r="Q15" s="123" t="str">
        <f>IF(OR(R15="Preventivo",R15="Detectivo"),"Probabilidad",IF(R15="Correctivo","Impacto",""))</f>
        <v>Probabilidad</v>
      </c>
      <c r="R15" s="124" t="s">
        <v>15</v>
      </c>
      <c r="S15" s="124" t="s">
        <v>9</v>
      </c>
      <c r="T15" s="125" t="str">
        <f t="shared" ref="T15:T17" si="8">IF(AND(R15="Preventivo",S15="Automático"),"50%",IF(AND(R15="Preventivo",S15="Manual"),"40%",IF(AND(R15="Detectivo",S15="Automático"),"40%",IF(AND(R15="Detectivo",S15="Manual"),"30%",IF(AND(R15="Correctivo",S15="Automático"),"35%",IF(AND(R15="Correctivo",S15="Manual"),"25%",""))))))</f>
        <v>30%</v>
      </c>
      <c r="U15" s="124" t="s">
        <v>19</v>
      </c>
      <c r="V15" s="124" t="s">
        <v>22</v>
      </c>
      <c r="W15" s="124" t="s">
        <v>120</v>
      </c>
      <c r="X15" s="126">
        <f>IFERROR(IF(AND(Q14="Probabilidad",Q15="Probabilidad"),(Z14-(+Z14*T15)),IF(Q15="Probabilidad",(I14-(+I14*T15)),IF(Q15="Impacto",Z14,""))),"")</f>
        <v>0.42</v>
      </c>
      <c r="Y15" s="127" t="str">
        <f t="shared" si="1"/>
        <v>Media</v>
      </c>
      <c r="Z15" s="128">
        <f t="shared" ref="Z15:Z17" si="9">+X15</f>
        <v>0.42</v>
      </c>
      <c r="AA15" s="127" t="str">
        <f t="shared" si="3"/>
        <v>Moderado</v>
      </c>
      <c r="AB15" s="128">
        <f>IFERROR(IF(AND(Q14="Impacto",Q15="Impacto"),(AB14-(+AB14*T15)),IF(Q15="Impacto",(M14-(+M14*T15)),IF(Q15="Probabilidad",AB14,""))),"")</f>
        <v>0.44999999999999996</v>
      </c>
      <c r="AC15" s="129" t="str">
        <f t="shared" ref="AC15:AC16" si="10">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30" t="s">
        <v>136</v>
      </c>
      <c r="AE15" s="140" t="s">
        <v>260</v>
      </c>
      <c r="AF15" s="132" t="s">
        <v>218</v>
      </c>
      <c r="AG15" s="133" t="s">
        <v>237</v>
      </c>
      <c r="AH15" s="133"/>
      <c r="AI15" s="131"/>
      <c r="AJ15" s="132" t="s">
        <v>41</v>
      </c>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row>
    <row r="16" spans="1:68" s="137" customFormat="1" ht="66" customHeight="1" x14ac:dyDescent="0.3">
      <c r="A16" s="188"/>
      <c r="B16" s="182"/>
      <c r="C16" s="190"/>
      <c r="D16" s="190"/>
      <c r="E16" s="190"/>
      <c r="F16" s="182"/>
      <c r="G16" s="184"/>
      <c r="H16" s="186"/>
      <c r="I16" s="194"/>
      <c r="J16" s="217"/>
      <c r="K16" s="194">
        <f>IF(NOT(ISERROR(MATCH(J16,_xlfn.ANCHORARRAY(E21),0))),I23&amp;"Por favor no seleccionar los criterios de impacto",J16)</f>
        <v>0</v>
      </c>
      <c r="L16" s="186"/>
      <c r="M16" s="194"/>
      <c r="N16" s="192"/>
      <c r="O16" s="121">
        <v>3</v>
      </c>
      <c r="P16" s="138" t="s">
        <v>252</v>
      </c>
      <c r="Q16" s="123" t="str">
        <f>IF(OR(R16="Preventivo",R16="Detectivo"),"Probabilidad",IF(R16="Correctivo","Impacto",""))</f>
        <v>Impacto</v>
      </c>
      <c r="R16" s="124" t="s">
        <v>16</v>
      </c>
      <c r="S16" s="124" t="s">
        <v>9</v>
      </c>
      <c r="T16" s="125" t="str">
        <f t="shared" si="8"/>
        <v>25%</v>
      </c>
      <c r="U16" s="124" t="s">
        <v>19</v>
      </c>
      <c r="V16" s="124" t="s">
        <v>22</v>
      </c>
      <c r="W16" s="124" t="s">
        <v>119</v>
      </c>
      <c r="X16" s="126">
        <f>IFERROR(IF(AND(Q15="Probabilidad",Q16="Probabilidad"),(Z15-(+Z15*T16)),IF(AND(Q15="Impacto",Q16="Probabilidad"),(Z14-(+Z14*T16)),IF(Q16="Impacto",Z15,""))),"")</f>
        <v>0.42</v>
      </c>
      <c r="Y16" s="127" t="str">
        <f t="shared" si="1"/>
        <v>Media</v>
      </c>
      <c r="Z16" s="128">
        <f t="shared" si="9"/>
        <v>0.42</v>
      </c>
      <c r="AA16" s="127" t="str">
        <f t="shared" si="3"/>
        <v>Menor</v>
      </c>
      <c r="AB16" s="128">
        <f>IFERROR(IF(AND(Q15="Impacto",Q16="Impacto"),(AB15-(+AB15*T16)),IF(AND(Q15="Probabilidad",Q16="Impacto"),(AB14-(+AB14*T16)),IF(Q16="Probabilidad",AB15,""))),"")</f>
        <v>0.33749999999999997</v>
      </c>
      <c r="AC16" s="129" t="str">
        <f t="shared" si="10"/>
        <v>Moderado</v>
      </c>
      <c r="AD16" s="130" t="s">
        <v>137</v>
      </c>
      <c r="AE16" s="131"/>
      <c r="AF16" s="132"/>
      <c r="AG16" s="133"/>
      <c r="AH16" s="133"/>
      <c r="AI16" s="131"/>
      <c r="AJ16" s="132" t="s">
        <v>41</v>
      </c>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row>
    <row r="17" spans="1:68" s="137" customFormat="1" ht="57.75" customHeight="1" x14ac:dyDescent="0.3">
      <c r="A17" s="188"/>
      <c r="B17" s="182"/>
      <c r="C17" s="190"/>
      <c r="D17" s="190"/>
      <c r="E17" s="190"/>
      <c r="F17" s="182"/>
      <c r="G17" s="184"/>
      <c r="H17" s="186"/>
      <c r="I17" s="194"/>
      <c r="J17" s="217"/>
      <c r="K17" s="194">
        <f>IF(NOT(ISERROR(MATCH(J17,_xlfn.ANCHORARRAY(E22),0))),#REF!&amp;"Por favor no seleccionar los criterios de impacto",J17)</f>
        <v>0</v>
      </c>
      <c r="L17" s="186"/>
      <c r="M17" s="194"/>
      <c r="N17" s="192"/>
      <c r="O17" s="121">
        <v>4</v>
      </c>
      <c r="P17" s="122" t="s">
        <v>253</v>
      </c>
      <c r="Q17" s="123" t="str">
        <f t="shared" ref="Q17" si="11">IF(OR(R17="Preventivo",R17="Detectivo"),"Probabilidad",IF(R17="Correctivo","Impacto",""))</f>
        <v>Impacto</v>
      </c>
      <c r="R17" s="124" t="s">
        <v>16</v>
      </c>
      <c r="S17" s="124" t="s">
        <v>9</v>
      </c>
      <c r="T17" s="125" t="str">
        <f t="shared" si="8"/>
        <v>25%</v>
      </c>
      <c r="U17" s="124" t="s">
        <v>19</v>
      </c>
      <c r="V17" s="124" t="s">
        <v>22</v>
      </c>
      <c r="W17" s="124" t="s">
        <v>119</v>
      </c>
      <c r="X17" s="126">
        <f t="shared" ref="X17" si="12">IFERROR(IF(AND(Q16="Probabilidad",Q17="Probabilidad"),(Z16-(+Z16*T17)),IF(AND(Q16="Impacto",Q17="Probabilidad"),(Z15-(+Z15*T17)),IF(Q17="Impacto",Z16,""))),"")</f>
        <v>0.42</v>
      </c>
      <c r="Y17" s="127" t="str">
        <f t="shared" si="1"/>
        <v>Media</v>
      </c>
      <c r="Z17" s="128">
        <f t="shared" si="9"/>
        <v>0.42</v>
      </c>
      <c r="AA17" s="127" t="str">
        <f t="shared" si="3"/>
        <v>Menor</v>
      </c>
      <c r="AB17" s="128">
        <f t="shared" ref="AB17" si="13">IFERROR(IF(AND(Q16="Impacto",Q17="Impacto"),(AB16-(+AB16*T17)),IF(AND(Q16="Probabilidad",Q17="Impacto"),(AB15-(+AB15*T17)),IF(Q17="Probabilidad",AB16,""))),"")</f>
        <v>0.25312499999999999</v>
      </c>
      <c r="AC17" s="129" t="str">
        <f>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0" t="s">
        <v>136</v>
      </c>
      <c r="AE17" s="140" t="s">
        <v>227</v>
      </c>
      <c r="AF17" s="132" t="s">
        <v>218</v>
      </c>
      <c r="AG17" s="133" t="s">
        <v>241</v>
      </c>
      <c r="AH17" s="133"/>
      <c r="AI17" s="131"/>
      <c r="AJ17" s="132" t="s">
        <v>41</v>
      </c>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row>
    <row r="18" spans="1:68" s="137" customFormat="1" ht="90.75" customHeight="1" x14ac:dyDescent="0.3">
      <c r="A18" s="187">
        <v>3</v>
      </c>
      <c r="B18" s="181" t="s">
        <v>132</v>
      </c>
      <c r="C18" s="189" t="s">
        <v>217</v>
      </c>
      <c r="D18" s="189" t="s">
        <v>228</v>
      </c>
      <c r="E18" s="189" t="s">
        <v>229</v>
      </c>
      <c r="F18" s="181" t="s">
        <v>128</v>
      </c>
      <c r="G18" s="183">
        <v>165</v>
      </c>
      <c r="H18" s="185" t="str">
        <f>IF(G18&lt;=0,"",IF(G18&lt;=2,"Muy Baja",IF(G18&lt;=24,"Baja",IF(G18&lt;=500,"Media",IF(G18&lt;=5000,"Alta","Muy Alta")))))</f>
        <v>Media</v>
      </c>
      <c r="I18" s="193">
        <f>IF(H18="","",IF(H18="Muy Baja",0.2,IF(H18="Baja",0.4,IF(H18="Media",0.6,IF(H18="Alta",0.8,IF(H18="Muy Alta",1,))))))</f>
        <v>0.6</v>
      </c>
      <c r="J18" s="216" t="s">
        <v>155</v>
      </c>
      <c r="K18" s="193"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185" t="str">
        <f>IF(OR(K18='Tabla Impacto'!$C$11,K18='Tabla Impacto'!$D$11),"Leve",IF(OR(K18='Tabla Impacto'!$C$12,K18='Tabla Impacto'!$D$12),"Menor",IF(OR(K18='Tabla Impacto'!$C$13,K18='Tabla Impacto'!$D$13),"Moderado",IF(OR(K18='Tabla Impacto'!$C$14,K18='Tabla Impacto'!$D$14),"Mayor",IF(OR(K18='Tabla Impacto'!$C$15,K18='Tabla Impacto'!$D$15),"Catastrófico","")))))</f>
        <v>Moderado</v>
      </c>
      <c r="M18" s="193">
        <f>IF(L18="","",IF(L18="Leve",0.2,IF(L18="Menor",0.4,IF(L18="Moderado",0.6,IF(L18="Mayor",0.8,IF(L18="Catastrófico",1,))))))</f>
        <v>0.6</v>
      </c>
      <c r="N18" s="191"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18" s="121">
        <v>1</v>
      </c>
      <c r="P18" s="122" t="s">
        <v>254</v>
      </c>
      <c r="Q18" s="123" t="str">
        <f>IF(OR(R18="Preventivo",R18="Detectivo"),"Probabilidad",IF(R18="Correctivo","Impacto",""))</f>
        <v>Impacto</v>
      </c>
      <c r="R18" s="124" t="s">
        <v>16</v>
      </c>
      <c r="S18" s="124" t="s">
        <v>9</v>
      </c>
      <c r="T18" s="125" t="str">
        <f>IF(AND(R18="Preventivo",S18="Automático"),"50%",IF(AND(R18="Preventivo",S18="Manual"),"40%",IF(AND(R18="Detectivo",S18="Automático"),"40%",IF(AND(R18="Detectivo",S18="Manual"),"30%",IF(AND(R18="Correctivo",S18="Automático"),"35%",IF(AND(R18="Correctivo",S18="Manual"),"25%",""))))))</f>
        <v>25%</v>
      </c>
      <c r="U18" s="124" t="s">
        <v>19</v>
      </c>
      <c r="V18" s="124" t="s">
        <v>22</v>
      </c>
      <c r="W18" s="124" t="s">
        <v>119</v>
      </c>
      <c r="X18" s="126">
        <f>IFERROR(IF(Q18="Probabilidad",(I18-(+I18*T18)),IF(Q18="Impacto",I18,"")),"")</f>
        <v>0.6</v>
      </c>
      <c r="Y18" s="127" t="str">
        <f>IFERROR(IF(X18="","",IF(X18&lt;=0.2,"Muy Baja",IF(X18&lt;=0.4,"Baja",IF(X18&lt;=0.6,"Media",IF(X18&lt;=0.8,"Alta","Muy Alta"))))),"")</f>
        <v>Media</v>
      </c>
      <c r="Z18" s="128">
        <f>+X18</f>
        <v>0.6</v>
      </c>
      <c r="AA18" s="127" t="str">
        <f>IFERROR(IF(AB18="","",IF(AB18&lt;=0.2,"Leve",IF(AB18&lt;=0.4,"Menor",IF(AB18&lt;=0.6,"Moderado",IF(AB18&lt;=0.8,"Mayor","Catastrófico"))))),"")</f>
        <v>Moderado</v>
      </c>
      <c r="AB18" s="128">
        <f>IFERROR(IF(Q18="Impacto",(M18-(+M18*T18)),IF(Q18="Probabilidad",M18,"")),"")</f>
        <v>0.44999999999999996</v>
      </c>
      <c r="AC18" s="12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30" t="s">
        <v>31</v>
      </c>
      <c r="AE18" s="131"/>
      <c r="AF18" s="132"/>
      <c r="AG18" s="133"/>
      <c r="AH18" s="133"/>
      <c r="AI18" s="131"/>
      <c r="AJ18" s="132" t="s">
        <v>41</v>
      </c>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row>
    <row r="19" spans="1:68" s="137" customFormat="1" ht="64.5" customHeight="1" x14ac:dyDescent="0.3">
      <c r="A19" s="188"/>
      <c r="B19" s="182"/>
      <c r="C19" s="190"/>
      <c r="D19" s="190"/>
      <c r="E19" s="190"/>
      <c r="F19" s="182"/>
      <c r="G19" s="184"/>
      <c r="H19" s="186"/>
      <c r="I19" s="194"/>
      <c r="J19" s="217"/>
      <c r="K19" s="194">
        <f>IF(NOT(ISERROR(MATCH(J19,_xlfn.ANCHORARRAY(E24),0))),I26&amp;"Por favor no seleccionar los criterios de impacto",J19)</f>
        <v>0</v>
      </c>
      <c r="L19" s="186"/>
      <c r="M19" s="194"/>
      <c r="N19" s="192"/>
      <c r="O19" s="121">
        <v>2</v>
      </c>
      <c r="P19" s="122" t="s">
        <v>220</v>
      </c>
      <c r="Q19" s="123" t="str">
        <f>IF(OR(R19="Preventivo",R19="Detectivo"),"Probabilidad",IF(R19="Correctivo","Impacto",""))</f>
        <v>Probabilidad</v>
      </c>
      <c r="R19" s="124" t="s">
        <v>14</v>
      </c>
      <c r="S19" s="124" t="s">
        <v>9</v>
      </c>
      <c r="T19" s="125" t="str">
        <f t="shared" ref="T19" si="14">IF(AND(R19="Preventivo",S19="Automático"),"50%",IF(AND(R19="Preventivo",S19="Manual"),"40%",IF(AND(R19="Detectivo",S19="Automático"),"40%",IF(AND(R19="Detectivo",S19="Manual"),"30%",IF(AND(R19="Correctivo",S19="Automático"),"35%",IF(AND(R19="Correctivo",S19="Manual"),"25%",""))))))</f>
        <v>40%</v>
      </c>
      <c r="U19" s="124" t="s">
        <v>19</v>
      </c>
      <c r="V19" s="124" t="s">
        <v>22</v>
      </c>
      <c r="W19" s="124" t="s">
        <v>119</v>
      </c>
      <c r="X19" s="139">
        <f>IFERROR(IF(AND(Q18="Probabilidad",Q19="Probabilidad"),(Z18-(+Z18*T19)),IF(Q19="Probabilidad",(I18-(+I18*T19)),IF(Q19="Impacto",Z18,""))),"")</f>
        <v>0.36</v>
      </c>
      <c r="Y19" s="127" t="str">
        <f t="shared" si="1"/>
        <v>Baja</v>
      </c>
      <c r="Z19" s="128">
        <f t="shared" ref="Z19" si="15">+X19</f>
        <v>0.36</v>
      </c>
      <c r="AA19" s="127" t="str">
        <f t="shared" si="3"/>
        <v>Moderado</v>
      </c>
      <c r="AB19" s="128">
        <f>IFERROR(IF(AND(Q18="Impacto",Q19="Impacto"),(AB18-(+AB18*T19)),IF(Q19="Impacto",(M18-(+M18*T19)),IF(Q19="Probabilidad",AB18,""))),"")</f>
        <v>0.44999999999999996</v>
      </c>
      <c r="AC19" s="129" t="str">
        <f t="shared" ref="AC19" si="16">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130" t="s">
        <v>136</v>
      </c>
      <c r="AE19" s="140" t="s">
        <v>234</v>
      </c>
      <c r="AF19" s="132" t="s">
        <v>218</v>
      </c>
      <c r="AG19" s="133" t="s">
        <v>238</v>
      </c>
      <c r="AH19" s="133"/>
      <c r="AI19" s="131"/>
      <c r="AJ19" s="132" t="s">
        <v>41</v>
      </c>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row>
    <row r="20" spans="1:68" s="137" customFormat="1" ht="57" customHeight="1" x14ac:dyDescent="0.3">
      <c r="A20" s="187">
        <v>4</v>
      </c>
      <c r="B20" s="181" t="s">
        <v>134</v>
      </c>
      <c r="C20" s="181" t="s">
        <v>214</v>
      </c>
      <c r="D20" s="189" t="s">
        <v>235</v>
      </c>
      <c r="E20" s="189" t="s">
        <v>255</v>
      </c>
      <c r="F20" s="181" t="s">
        <v>226</v>
      </c>
      <c r="G20" s="183">
        <v>165</v>
      </c>
      <c r="H20" s="185" t="str">
        <f>IF(G20&lt;=0,"",IF(G20&lt;=2,"Muy Baja",IF(G20&lt;=24,"Baja",IF(G20&lt;=500,"Media",IF(G20&lt;=5000,"Alta","Muy Alta")))))</f>
        <v>Media</v>
      </c>
      <c r="I20" s="193">
        <f>IF(H20="","",IF(H20="Muy Baja",0.2,IF(H20="Baja",0.4,IF(H20="Media",0.6,IF(H20="Alta",0.8,IF(H20="Muy Alta",1,))))))</f>
        <v>0.6</v>
      </c>
      <c r="J20" s="216" t="s">
        <v>224</v>
      </c>
      <c r="K20" s="193" t="str">
        <f>IF(NOT(ISERROR(MATCH(J20,'Tabla Impacto'!$B$221:$B$223,0))),'Tabla Impacto'!$F$223&amp;"Por favor no seleccionar los criterios de impacto(Afectación Económica o presupuestal y Pérdida Reputacional)",J20)</f>
        <v xml:space="preserve">     El riesgo afecta la imagen de  la entidad con efecto publicitario sostenido a nivel de sector administrativo, nivel departamental o municipal</v>
      </c>
      <c r="L20" s="185" t="str">
        <f>IF(OR(K14='Tabla Impacto'!$C$11,K14='Tabla Impacto'!$D$11),"Leve",IF(OR(K14='Tabla Impacto'!$C$12,K14='Tabla Impacto'!$D$12),"Menor",IF(OR(K14='Tabla Impacto'!$C$13,K14='Tabla Impacto'!$D$13),"Moderado",IF(OR(K14='Tabla Impacto'!$C$14,K14='Tabla Impacto'!$D$14),"Mayor",IF(OR(K14='Tabla Impacto'!$C$15,K14='Tabla Impacto'!$D$15),"Catastrófico","")))))</f>
        <v>Moderado</v>
      </c>
      <c r="M20" s="193">
        <f>IF(L14="","",IF(L14="Leve",0.2,IF(L14="Menor",0.4,IF(L14="Moderado",0.6,IF(L14="Mayor",0.8,IF(L14="Catastrófico",1,))))))</f>
        <v>0.6</v>
      </c>
      <c r="N20" s="191"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Moderado</v>
      </c>
      <c r="O20" s="121">
        <v>1</v>
      </c>
      <c r="P20" s="122" t="s">
        <v>248</v>
      </c>
      <c r="Q20" s="123" t="str">
        <f>IF(OR(R20="Preventivo",R20="Detectivo"),"Probabilidad",IF(R20="Correctivo","Impacto",""))</f>
        <v>Impacto</v>
      </c>
      <c r="R20" s="124" t="s">
        <v>16</v>
      </c>
      <c r="S20" s="124" t="s">
        <v>9</v>
      </c>
      <c r="T20" s="125" t="str">
        <f>IF(AND(R20="Preventivo",S20="Automático"),"50%",IF(AND(R20="Preventivo",S20="Manual"),"40%",IF(AND(R20="Detectivo",S20="Automático"),"40%",IF(AND(R20="Detectivo",S20="Manual"),"30%",IF(AND(R20="Correctivo",S20="Automático"),"35%",IF(AND(R20="Correctivo",S20="Manual"),"25%",""))))))</f>
        <v>25%</v>
      </c>
      <c r="U20" s="124" t="s">
        <v>19</v>
      </c>
      <c r="V20" s="124" t="s">
        <v>22</v>
      </c>
      <c r="W20" s="124" t="s">
        <v>119</v>
      </c>
      <c r="X20" s="126">
        <f>IFERROR(IF(Q20="Probabilidad",(I20-(+I20*T20)),IF(Q20="Impacto",I20,"")),"")</f>
        <v>0.6</v>
      </c>
      <c r="Y20" s="127" t="str">
        <f>IFERROR(IF(X20="","",IF(X20&lt;=0.2,"Muy Baja",IF(X20&lt;=0.4,"Baja",IF(X20&lt;=0.6,"Media",IF(X20&lt;=0.8,"Alta","Muy Alta"))))),"")</f>
        <v>Media</v>
      </c>
      <c r="Z20" s="128">
        <f>+X20</f>
        <v>0.6</v>
      </c>
      <c r="AA20" s="127" t="str">
        <f>IFERROR(IF(AB20="","",IF(AB20&lt;=0.2,"Leve",IF(AB20&lt;=0.4,"Menor",IF(AB20&lt;=0.6,"Moderado",IF(AB20&lt;=0.8,"Mayor","Catastrófico"))))),"")</f>
        <v>Moderado</v>
      </c>
      <c r="AB20" s="128">
        <f>IFERROR(IF(Q20="Impacto",(M20-(+M20*T20)),IF(Q20="Probabilidad",M20,"")),"")</f>
        <v>0.44999999999999996</v>
      </c>
      <c r="AC20" s="129"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Moderado</v>
      </c>
      <c r="AD20" s="130" t="s">
        <v>137</v>
      </c>
      <c r="AE20" s="131"/>
      <c r="AF20" s="132"/>
      <c r="AG20" s="133"/>
      <c r="AH20" s="133"/>
      <c r="AI20" s="131"/>
      <c r="AJ20" s="132" t="s">
        <v>41</v>
      </c>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row>
    <row r="21" spans="1:68" s="137" customFormat="1" ht="57" customHeight="1" x14ac:dyDescent="0.3">
      <c r="A21" s="188"/>
      <c r="B21" s="182"/>
      <c r="C21" s="182"/>
      <c r="D21" s="190"/>
      <c r="E21" s="190"/>
      <c r="F21" s="182"/>
      <c r="G21" s="184"/>
      <c r="H21" s="186"/>
      <c r="I21" s="194"/>
      <c r="J21" s="217"/>
      <c r="K21" s="194">
        <f>IF(NOT(ISERROR(MATCH(J21,_xlfn.ANCHORARRAY(E30),0))),I32&amp;"Por favor no seleccionar los criterios de impacto",J21)</f>
        <v>0</v>
      </c>
      <c r="L21" s="186"/>
      <c r="M21" s="194"/>
      <c r="N21" s="192"/>
      <c r="O21" s="121">
        <v>2</v>
      </c>
      <c r="P21" s="122" t="s">
        <v>247</v>
      </c>
      <c r="Q21" s="123" t="str">
        <f>IF(OR(R21="Preventivo",R21="Detectivo"),"Probabilidad",IF(R21="Correctivo","Impacto",""))</f>
        <v>Impacto</v>
      </c>
      <c r="R21" s="124" t="s">
        <v>16</v>
      </c>
      <c r="S21" s="124" t="s">
        <v>9</v>
      </c>
      <c r="T21" s="125" t="str">
        <f t="shared" ref="T21:T23" si="17">IF(AND(R21="Preventivo",S21="Automático"),"50%",IF(AND(R21="Preventivo",S21="Manual"),"40%",IF(AND(R21="Detectivo",S21="Automático"),"40%",IF(AND(R21="Detectivo",S21="Manual"),"30%",IF(AND(R21="Correctivo",S21="Automático"),"35%",IF(AND(R21="Correctivo",S21="Manual"),"25%",""))))))</f>
        <v>25%</v>
      </c>
      <c r="U21" s="124" t="s">
        <v>19</v>
      </c>
      <c r="V21" s="124" t="s">
        <v>22</v>
      </c>
      <c r="W21" s="124" t="s">
        <v>119</v>
      </c>
      <c r="X21" s="126">
        <f>IFERROR(IF(AND(Q20="Probabilidad",Q21="Probabilidad"),(Z20-(+Z20*T21)),IF(Q21="Probabilidad",(I20-(+I20*T21)),IF(Q21="Impacto",Z20,""))),"")</f>
        <v>0.6</v>
      </c>
      <c r="Y21" s="127" t="str">
        <f t="shared" si="1"/>
        <v>Media</v>
      </c>
      <c r="Z21" s="128">
        <f t="shared" ref="Z21:Z23" si="18">+X21</f>
        <v>0.6</v>
      </c>
      <c r="AA21" s="127" t="str">
        <f t="shared" si="3"/>
        <v>Menor</v>
      </c>
      <c r="AB21" s="128">
        <f>IFERROR(IF(AND(Q20="Impacto",Q21="Impacto"),(AB20-(+AB20*T21)),IF(Q21="Impacto",(M20-(+M20*T21)),IF(Q21="Probabilidad",AB20,""))),"")</f>
        <v>0.33749999999999997</v>
      </c>
      <c r="AC21" s="129" t="str">
        <f t="shared" ref="AC21:AC22" si="19">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Moderado</v>
      </c>
      <c r="AD21" s="130" t="s">
        <v>137</v>
      </c>
      <c r="AE21" s="131"/>
      <c r="AF21" s="132"/>
      <c r="AG21" s="133"/>
      <c r="AH21" s="133"/>
      <c r="AI21" s="131"/>
      <c r="AJ21" s="132" t="s">
        <v>41</v>
      </c>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row>
    <row r="22" spans="1:68" s="137" customFormat="1" ht="57" customHeight="1" x14ac:dyDescent="0.3">
      <c r="A22" s="188"/>
      <c r="B22" s="182"/>
      <c r="C22" s="182"/>
      <c r="D22" s="190"/>
      <c r="E22" s="190"/>
      <c r="F22" s="182"/>
      <c r="G22" s="184"/>
      <c r="H22" s="186"/>
      <c r="I22" s="194"/>
      <c r="J22" s="217"/>
      <c r="K22" s="194">
        <f>IF(NOT(ISERROR(MATCH(J22,_xlfn.ANCHORARRAY(E31),0))),I33&amp;"Por favor no seleccionar los criterios de impacto",J22)</f>
        <v>0</v>
      </c>
      <c r="L22" s="186"/>
      <c r="M22" s="194"/>
      <c r="N22" s="192"/>
      <c r="O22" s="121">
        <v>3</v>
      </c>
      <c r="P22" s="138" t="s">
        <v>225</v>
      </c>
      <c r="Q22" s="123" t="str">
        <f>IF(OR(R22="Preventivo",R22="Detectivo"),"Probabilidad",IF(R22="Correctivo","Impacto",""))</f>
        <v>Impacto</v>
      </c>
      <c r="R22" s="124" t="s">
        <v>16</v>
      </c>
      <c r="S22" s="124" t="s">
        <v>9</v>
      </c>
      <c r="T22" s="125" t="str">
        <f t="shared" si="17"/>
        <v>25%</v>
      </c>
      <c r="U22" s="124" t="s">
        <v>19</v>
      </c>
      <c r="V22" s="124" t="s">
        <v>22</v>
      </c>
      <c r="W22" s="124" t="s">
        <v>119</v>
      </c>
      <c r="X22" s="126">
        <f>IFERROR(IF(AND(Q21="Probabilidad",Q22="Probabilidad"),(Z21-(+Z21*T22)),IF(AND(Q21="Impacto",Q22="Probabilidad"),(Z20-(+Z20*T22)),IF(Q22="Impacto",Z21,""))),"")</f>
        <v>0.6</v>
      </c>
      <c r="Y22" s="127" t="str">
        <f t="shared" si="1"/>
        <v>Media</v>
      </c>
      <c r="Z22" s="128">
        <f t="shared" si="18"/>
        <v>0.6</v>
      </c>
      <c r="AA22" s="127" t="str">
        <f t="shared" si="3"/>
        <v>Menor</v>
      </c>
      <c r="AB22" s="128">
        <f>IFERROR(IF(AND(Q21="Impacto",Q22="Impacto"),(AB21-(+AB21*T22)),IF(AND(Q21="Probabilidad",Q22="Impacto"),(AB20-(+AB20*T22)),IF(Q22="Probabilidad",AB21,""))),"")</f>
        <v>0.25312499999999999</v>
      </c>
      <c r="AC22" s="129" t="str">
        <f t="shared" si="19"/>
        <v>Moderado</v>
      </c>
      <c r="AD22" s="130" t="s">
        <v>137</v>
      </c>
      <c r="AE22" s="131"/>
      <c r="AF22" s="132"/>
      <c r="AG22" s="133"/>
      <c r="AH22" s="133"/>
      <c r="AI22" s="131"/>
      <c r="AJ22" s="132" t="s">
        <v>41</v>
      </c>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row>
    <row r="23" spans="1:68" s="137" customFormat="1" ht="68.25" customHeight="1" x14ac:dyDescent="0.3">
      <c r="A23" s="188"/>
      <c r="B23" s="182"/>
      <c r="C23" s="182"/>
      <c r="D23" s="190"/>
      <c r="E23" s="190"/>
      <c r="F23" s="182"/>
      <c r="G23" s="184"/>
      <c r="H23" s="186"/>
      <c r="I23" s="194"/>
      <c r="J23" s="217"/>
      <c r="K23" s="194">
        <f>IF(NOT(ISERROR(MATCH(J23,_xlfn.ANCHORARRAY(E32),0))),I34&amp;"Por favor no seleccionar los criterios de impacto",J23)</f>
        <v>0</v>
      </c>
      <c r="L23" s="221"/>
      <c r="M23" s="194"/>
      <c r="N23" s="192"/>
      <c r="O23" s="121">
        <v>4</v>
      </c>
      <c r="P23" s="122" t="s">
        <v>257</v>
      </c>
      <c r="Q23" s="123" t="str">
        <f t="shared" ref="Q23" si="20">IF(OR(R23="Preventivo",R23="Detectivo"),"Probabilidad",IF(R23="Correctivo","Impacto",""))</f>
        <v>Probabilidad</v>
      </c>
      <c r="R23" s="124" t="s">
        <v>14</v>
      </c>
      <c r="S23" s="124" t="s">
        <v>9</v>
      </c>
      <c r="T23" s="125" t="str">
        <f t="shared" si="17"/>
        <v>40%</v>
      </c>
      <c r="U23" s="124" t="s">
        <v>20</v>
      </c>
      <c r="V23" s="124" t="s">
        <v>22</v>
      </c>
      <c r="W23" s="124" t="s">
        <v>120</v>
      </c>
      <c r="X23" s="126">
        <f t="shared" ref="X23" si="21">IFERROR(IF(AND(Q22="Probabilidad",Q23="Probabilidad"),(Z22-(+Z22*T23)),IF(AND(Q22="Impacto",Q23="Probabilidad"),(Z21-(+Z21*T23)),IF(Q23="Impacto",Z22,""))),"")</f>
        <v>0.36</v>
      </c>
      <c r="Y23" s="127" t="str">
        <f t="shared" si="1"/>
        <v>Baja</v>
      </c>
      <c r="Z23" s="128">
        <f t="shared" si="18"/>
        <v>0.36</v>
      </c>
      <c r="AA23" s="127" t="str">
        <f t="shared" si="3"/>
        <v>Menor</v>
      </c>
      <c r="AB23" s="128">
        <f t="shared" ref="AB23" si="22">IFERROR(IF(AND(Q22="Impacto",Q23="Impacto"),(AB22-(+AB22*T23)),IF(AND(Q22="Probabilidad",Q23="Impacto"),(AB21-(+AB21*T23)),IF(Q23="Probabilidad",AB22,""))),"")</f>
        <v>0.25312499999999999</v>
      </c>
      <c r="AC23" s="129"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Moderado</v>
      </c>
      <c r="AD23" s="130" t="s">
        <v>136</v>
      </c>
      <c r="AE23" s="131" t="s">
        <v>249</v>
      </c>
      <c r="AF23" s="132" t="s">
        <v>236</v>
      </c>
      <c r="AG23" s="133" t="s">
        <v>261</v>
      </c>
      <c r="AH23" s="133"/>
      <c r="AI23" s="131"/>
      <c r="AJ23" s="132" t="s">
        <v>41</v>
      </c>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row>
    <row r="24" spans="1:68" s="137" customFormat="1" ht="24" hidden="1" customHeight="1" x14ac:dyDescent="0.3">
      <c r="A24" s="187">
        <v>5</v>
      </c>
      <c r="B24" s="181"/>
      <c r="C24" s="181"/>
      <c r="D24" s="181"/>
      <c r="E24" s="181"/>
      <c r="F24" s="181"/>
      <c r="G24" s="183"/>
      <c r="H24" s="185" t="str">
        <f>IF(G24&lt;=0,"",IF(G24&lt;=2,"Muy Baja",IF(G24&lt;=24,"Baja",IF(G24&lt;=500,"Media",IF(G24&lt;=5000,"Alta","Muy Alta")))))</f>
        <v/>
      </c>
      <c r="I24" s="193" t="str">
        <f>IF(H24="","",IF(H24="Muy Baja",0.2,IF(H24="Baja",0.4,IF(H24="Media",0.6,IF(H24="Alta",0.8,IF(H24="Muy Alta",1,))))))</f>
        <v/>
      </c>
      <c r="J24" s="216"/>
      <c r="K24" s="193">
        <f>IF(NOT(ISERROR(MATCH(J24,'Tabla Impacto'!$B$221:$B$223,0))),'Tabla Impacto'!$F$223&amp;"Por favor no seleccionar los criterios de impacto(Afectación Económica o presupuestal y Pérdida Reputacional)",J24)</f>
        <v>0</v>
      </c>
      <c r="L24" s="185" t="str">
        <f>IF(OR(K24='Tabla Impacto'!$C$11,K24='Tabla Impacto'!$D$11),"Leve",IF(OR(K24='Tabla Impacto'!$C$12,K24='Tabla Impacto'!$D$12),"Menor",IF(OR(K24='Tabla Impacto'!$C$13,K24='Tabla Impacto'!$D$13),"Moderado",IF(OR(K24='Tabla Impacto'!$C$14,K24='Tabla Impacto'!$D$14),"Mayor",IF(OR(K24='Tabla Impacto'!$C$15,K24='Tabla Impacto'!$D$15),"Catastrófico","")))))</f>
        <v/>
      </c>
      <c r="M24" s="193" t="str">
        <f>IF(L24="","",IF(L24="Leve",0.2,IF(L24="Menor",0.4,IF(L24="Moderado",0.6,IF(L24="Mayor",0.8,IF(L24="Catastrófico",1,))))))</f>
        <v/>
      </c>
      <c r="N24" s="19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21">
        <v>1</v>
      </c>
      <c r="P24" s="122"/>
      <c r="Q24" s="123" t="str">
        <f>IF(OR(R24="Preventivo",R24="Detectivo"),"Probabilidad",IF(R24="Correctivo","Impacto",""))</f>
        <v/>
      </c>
      <c r="R24" s="124"/>
      <c r="S24" s="124"/>
      <c r="T24" s="125" t="str">
        <f>IF(AND(R24="Preventivo",S24="Automático"),"50%",IF(AND(R24="Preventivo",S24="Manual"),"40%",IF(AND(R24="Detectivo",S24="Automático"),"40%",IF(AND(R24="Detectivo",S24="Manual"),"30%",IF(AND(R24="Correctivo",S24="Automático"),"35%",IF(AND(R24="Correctivo",S24="Manual"),"25%",""))))))</f>
        <v/>
      </c>
      <c r="U24" s="124"/>
      <c r="V24" s="124"/>
      <c r="W24" s="124"/>
      <c r="X24" s="126" t="str">
        <f>IFERROR(IF(Q24="Probabilidad",(I24-(+I24*T24)),IF(Q24="Impacto",I24,"")),"")</f>
        <v/>
      </c>
      <c r="Y24" s="127" t="str">
        <f>IFERROR(IF(X24="","",IF(X24&lt;=0.2,"Muy Baja",IF(X24&lt;=0.4,"Baja",IF(X24&lt;=0.6,"Media",IF(X24&lt;=0.8,"Alta","Muy Alta"))))),"")</f>
        <v/>
      </c>
      <c r="Z24" s="128" t="str">
        <f>+X24</f>
        <v/>
      </c>
      <c r="AA24" s="127" t="str">
        <f>IFERROR(IF(AB24="","",IF(AB24&lt;=0.2,"Leve",IF(AB24&lt;=0.4,"Menor",IF(AB24&lt;=0.6,"Moderado",IF(AB24&lt;=0.8,"Mayor","Catastrófico"))))),"")</f>
        <v/>
      </c>
      <c r="AB24" s="128" t="str">
        <f>IFERROR(IF(Q24="Impacto",(M24-(+M24*T24)),IF(Q24="Probabilidad",M24,"")),"")</f>
        <v/>
      </c>
      <c r="AC24" s="12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0"/>
      <c r="AE24" s="131"/>
      <c r="AF24" s="132"/>
      <c r="AG24" s="133"/>
      <c r="AH24" s="133"/>
      <c r="AI24" s="131"/>
      <c r="AJ24" s="132"/>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row>
    <row r="25" spans="1:68" s="137" customFormat="1" ht="24" hidden="1" customHeight="1" x14ac:dyDescent="0.3">
      <c r="A25" s="188"/>
      <c r="B25" s="182"/>
      <c r="C25" s="182"/>
      <c r="D25" s="182"/>
      <c r="E25" s="182"/>
      <c r="F25" s="182"/>
      <c r="G25" s="184"/>
      <c r="H25" s="186"/>
      <c r="I25" s="194"/>
      <c r="J25" s="217"/>
      <c r="K25" s="194">
        <f t="shared" ref="K25:K29" si="23">IF(NOT(ISERROR(MATCH(J25,_xlfn.ANCHORARRAY(E36),0))),I38&amp;"Por favor no seleccionar los criterios de impacto",J25)</f>
        <v>0</v>
      </c>
      <c r="L25" s="186"/>
      <c r="M25" s="194"/>
      <c r="N25" s="192"/>
      <c r="O25" s="121">
        <v>2</v>
      </c>
      <c r="P25" s="122"/>
      <c r="Q25" s="123" t="str">
        <f>IF(OR(R25="Preventivo",R25="Detectivo"),"Probabilidad",IF(R25="Correctivo","Impacto",""))</f>
        <v/>
      </c>
      <c r="R25" s="124"/>
      <c r="S25" s="124"/>
      <c r="T25" s="125" t="str">
        <f t="shared" ref="T25:T29" si="24">IF(AND(R25="Preventivo",S25="Automático"),"50%",IF(AND(R25="Preventivo",S25="Manual"),"40%",IF(AND(R25="Detectivo",S25="Automático"),"40%",IF(AND(R25="Detectivo",S25="Manual"),"30%",IF(AND(R25="Correctivo",S25="Automático"),"35%",IF(AND(R25="Correctivo",S25="Manual"),"25%",""))))))</f>
        <v/>
      </c>
      <c r="U25" s="124"/>
      <c r="V25" s="124"/>
      <c r="W25" s="124"/>
      <c r="X25" s="126" t="str">
        <f>IFERROR(IF(AND(Q24="Probabilidad",Q25="Probabilidad"),(Z24-(+Z24*T25)),IF(Q25="Probabilidad",(I24-(+I24*T25)),IF(Q25="Impacto",Z24,""))),"")</f>
        <v/>
      </c>
      <c r="Y25" s="127" t="str">
        <f t="shared" si="1"/>
        <v/>
      </c>
      <c r="Z25" s="128" t="str">
        <f t="shared" ref="Z25:Z29" si="25">+X25</f>
        <v/>
      </c>
      <c r="AA25" s="127" t="str">
        <f t="shared" si="3"/>
        <v/>
      </c>
      <c r="AB25" s="128" t="str">
        <f>IFERROR(IF(AND(Q24="Impacto",Q25="Impacto"),(AB24-(+AB24*T25)),IF(Q25="Impacto",(M24-(+M24*T25)),IF(Q25="Probabilidad",AB24,""))),"")</f>
        <v/>
      </c>
      <c r="AC25" s="129" t="str">
        <f t="shared" ref="AC25:AC26" si="26">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0"/>
      <c r="AE25" s="131"/>
      <c r="AF25" s="132"/>
      <c r="AG25" s="133"/>
      <c r="AH25" s="133"/>
      <c r="AI25" s="131"/>
      <c r="AJ25" s="132"/>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row>
    <row r="26" spans="1:68" s="137" customFormat="1" ht="24" hidden="1" customHeight="1" x14ac:dyDescent="0.3">
      <c r="A26" s="188"/>
      <c r="B26" s="182"/>
      <c r="C26" s="182"/>
      <c r="D26" s="182"/>
      <c r="E26" s="182"/>
      <c r="F26" s="182"/>
      <c r="G26" s="184"/>
      <c r="H26" s="186"/>
      <c r="I26" s="194"/>
      <c r="J26" s="217"/>
      <c r="K26" s="194">
        <f t="shared" si="23"/>
        <v>0</v>
      </c>
      <c r="L26" s="186"/>
      <c r="M26" s="194"/>
      <c r="N26" s="192"/>
      <c r="O26" s="121">
        <v>3</v>
      </c>
      <c r="P26" s="138"/>
      <c r="Q26" s="123" t="str">
        <f>IF(OR(R26="Preventivo",R26="Detectivo"),"Probabilidad",IF(R26="Correctivo","Impacto",""))</f>
        <v/>
      </c>
      <c r="R26" s="124"/>
      <c r="S26" s="124"/>
      <c r="T26" s="125" t="str">
        <f t="shared" si="24"/>
        <v/>
      </c>
      <c r="U26" s="124"/>
      <c r="V26" s="124"/>
      <c r="W26" s="124"/>
      <c r="X26" s="126" t="str">
        <f>IFERROR(IF(AND(Q25="Probabilidad",Q26="Probabilidad"),(Z25-(+Z25*T26)),IF(AND(Q25="Impacto",Q26="Probabilidad"),(Z24-(+Z24*T26)),IF(Q26="Impacto",Z25,""))),"")</f>
        <v/>
      </c>
      <c r="Y26" s="127" t="str">
        <f t="shared" si="1"/>
        <v/>
      </c>
      <c r="Z26" s="128" t="str">
        <f t="shared" si="25"/>
        <v/>
      </c>
      <c r="AA26" s="127" t="str">
        <f t="shared" si="3"/>
        <v/>
      </c>
      <c r="AB26" s="128" t="str">
        <f>IFERROR(IF(AND(Q25="Impacto",Q26="Impacto"),(AB25-(+AB25*T26)),IF(AND(Q25="Probabilidad",Q26="Impacto"),(AB24-(+AB24*T26)),IF(Q26="Probabilidad",AB25,""))),"")</f>
        <v/>
      </c>
      <c r="AC26" s="129" t="str">
        <f t="shared" si="26"/>
        <v/>
      </c>
      <c r="AD26" s="130"/>
      <c r="AE26" s="131"/>
      <c r="AF26" s="132"/>
      <c r="AG26" s="133"/>
      <c r="AH26" s="133"/>
      <c r="AI26" s="131"/>
      <c r="AJ26" s="132"/>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row>
    <row r="27" spans="1:68" s="137" customFormat="1" ht="24" hidden="1" customHeight="1" x14ac:dyDescent="0.3">
      <c r="A27" s="188"/>
      <c r="B27" s="182"/>
      <c r="C27" s="182"/>
      <c r="D27" s="182"/>
      <c r="E27" s="182"/>
      <c r="F27" s="182"/>
      <c r="G27" s="184"/>
      <c r="H27" s="186"/>
      <c r="I27" s="194"/>
      <c r="J27" s="217"/>
      <c r="K27" s="194">
        <f t="shared" si="23"/>
        <v>0</v>
      </c>
      <c r="L27" s="186"/>
      <c r="M27" s="194"/>
      <c r="N27" s="192"/>
      <c r="O27" s="121">
        <v>4</v>
      </c>
      <c r="P27" s="122"/>
      <c r="Q27" s="123" t="str">
        <f t="shared" ref="Q27:Q29" si="27">IF(OR(R27="Preventivo",R27="Detectivo"),"Probabilidad",IF(R27="Correctivo","Impacto",""))</f>
        <v/>
      </c>
      <c r="R27" s="124"/>
      <c r="S27" s="124"/>
      <c r="T27" s="125" t="str">
        <f t="shared" si="24"/>
        <v/>
      </c>
      <c r="U27" s="124"/>
      <c r="V27" s="124"/>
      <c r="W27" s="124"/>
      <c r="X27" s="126" t="str">
        <f t="shared" ref="X27:X29" si="28">IFERROR(IF(AND(Q26="Probabilidad",Q27="Probabilidad"),(Z26-(+Z26*T27)),IF(AND(Q26="Impacto",Q27="Probabilidad"),(Z25-(+Z25*T27)),IF(Q27="Impacto",Z26,""))),"")</f>
        <v/>
      </c>
      <c r="Y27" s="127" t="str">
        <f t="shared" si="1"/>
        <v/>
      </c>
      <c r="Z27" s="128" t="str">
        <f t="shared" si="25"/>
        <v/>
      </c>
      <c r="AA27" s="127" t="str">
        <f t="shared" si="3"/>
        <v/>
      </c>
      <c r="AB27" s="128" t="str">
        <f t="shared" ref="AB27:AB29" si="29">IFERROR(IF(AND(Q26="Impacto",Q27="Impacto"),(AB26-(+AB26*T27)),IF(AND(Q26="Probabilidad",Q27="Impacto"),(AB25-(+AB25*T27)),IF(Q27="Probabilidad",AB26,""))),"")</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0"/>
      <c r="AE27" s="131"/>
      <c r="AF27" s="132"/>
      <c r="AG27" s="133"/>
      <c r="AH27" s="133"/>
      <c r="AI27" s="131"/>
      <c r="AJ27" s="132"/>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row>
    <row r="28" spans="1:68" s="137" customFormat="1" ht="24" hidden="1" customHeight="1" x14ac:dyDescent="0.3">
      <c r="A28" s="188"/>
      <c r="B28" s="182"/>
      <c r="C28" s="182"/>
      <c r="D28" s="182"/>
      <c r="E28" s="182"/>
      <c r="F28" s="182"/>
      <c r="G28" s="184"/>
      <c r="H28" s="186"/>
      <c r="I28" s="194"/>
      <c r="J28" s="217"/>
      <c r="K28" s="194">
        <f t="shared" si="23"/>
        <v>0</v>
      </c>
      <c r="L28" s="186"/>
      <c r="M28" s="194"/>
      <c r="N28" s="192"/>
      <c r="O28" s="121">
        <v>5</v>
      </c>
      <c r="P28" s="122"/>
      <c r="Q28" s="123" t="str">
        <f t="shared" si="27"/>
        <v/>
      </c>
      <c r="R28" s="124"/>
      <c r="S28" s="124"/>
      <c r="T28" s="125" t="str">
        <f t="shared" si="24"/>
        <v/>
      </c>
      <c r="U28" s="124"/>
      <c r="V28" s="124"/>
      <c r="W28" s="124"/>
      <c r="X28" s="126" t="str">
        <f t="shared" si="28"/>
        <v/>
      </c>
      <c r="Y28" s="127" t="str">
        <f t="shared" si="1"/>
        <v/>
      </c>
      <c r="Z28" s="128" t="str">
        <f t="shared" si="25"/>
        <v/>
      </c>
      <c r="AA28" s="127" t="str">
        <f t="shared" si="3"/>
        <v/>
      </c>
      <c r="AB28" s="128" t="str">
        <f t="shared" si="29"/>
        <v/>
      </c>
      <c r="AC28" s="129" t="str">
        <f t="shared" ref="AC28:AC29" si="30">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0"/>
      <c r="AE28" s="131"/>
      <c r="AF28" s="132"/>
      <c r="AG28" s="133"/>
      <c r="AH28" s="133"/>
      <c r="AI28" s="131"/>
      <c r="AJ28" s="132"/>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row>
    <row r="29" spans="1:68" s="137" customFormat="1" ht="24" hidden="1" customHeight="1" x14ac:dyDescent="0.3">
      <c r="A29" s="218"/>
      <c r="B29" s="219"/>
      <c r="C29" s="219"/>
      <c r="D29" s="219"/>
      <c r="E29" s="219"/>
      <c r="F29" s="219"/>
      <c r="G29" s="220"/>
      <c r="H29" s="221"/>
      <c r="I29" s="222"/>
      <c r="J29" s="223"/>
      <c r="K29" s="222">
        <f t="shared" si="23"/>
        <v>0</v>
      </c>
      <c r="L29" s="221"/>
      <c r="M29" s="222"/>
      <c r="N29" s="224"/>
      <c r="O29" s="121">
        <v>6</v>
      </c>
      <c r="P29" s="122"/>
      <c r="Q29" s="123" t="str">
        <f t="shared" si="27"/>
        <v/>
      </c>
      <c r="R29" s="124"/>
      <c r="S29" s="124"/>
      <c r="T29" s="125" t="str">
        <f t="shared" si="24"/>
        <v/>
      </c>
      <c r="U29" s="124"/>
      <c r="V29" s="124"/>
      <c r="W29" s="124"/>
      <c r="X29" s="126" t="str">
        <f t="shared" si="28"/>
        <v/>
      </c>
      <c r="Y29" s="127" t="str">
        <f t="shared" si="1"/>
        <v/>
      </c>
      <c r="Z29" s="128" t="str">
        <f t="shared" si="25"/>
        <v/>
      </c>
      <c r="AA29" s="127" t="str">
        <f t="shared" si="3"/>
        <v/>
      </c>
      <c r="AB29" s="128" t="str">
        <f t="shared" si="29"/>
        <v/>
      </c>
      <c r="AC29" s="129" t="str">
        <f t="shared" si="30"/>
        <v/>
      </c>
      <c r="AD29" s="130"/>
      <c r="AE29" s="131"/>
      <c r="AF29" s="132"/>
      <c r="AG29" s="133"/>
      <c r="AH29" s="133"/>
      <c r="AI29" s="131"/>
      <c r="AJ29" s="132"/>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row>
    <row r="30" spans="1:68" s="137" customFormat="1" ht="24" hidden="1" customHeight="1" x14ac:dyDescent="0.3">
      <c r="A30" s="187">
        <v>6</v>
      </c>
      <c r="B30" s="181"/>
      <c r="C30" s="181"/>
      <c r="D30" s="181"/>
      <c r="E30" s="181"/>
      <c r="F30" s="181"/>
      <c r="G30" s="183"/>
      <c r="H30" s="185" t="str">
        <f>IF(G30&lt;=0,"",IF(G30&lt;=2,"Muy Baja",IF(G30&lt;=24,"Baja",IF(G30&lt;=500,"Media",IF(G30&lt;=5000,"Alta","Muy Alta")))))</f>
        <v/>
      </c>
      <c r="I30" s="193" t="str">
        <f>IF(H30="","",IF(H30="Muy Baja",0.2,IF(H30="Baja",0.4,IF(H30="Media",0.6,IF(H30="Alta",0.8,IF(H30="Muy Alta",1,))))))</f>
        <v/>
      </c>
      <c r="J30" s="216"/>
      <c r="K30" s="193">
        <f>IF(NOT(ISERROR(MATCH(J30,'Tabla Impacto'!$B$221:$B$223,0))),'Tabla Impacto'!$F$223&amp;"Por favor no seleccionar los criterios de impacto(Afectación Económica o presupuestal y Pérdida Reputacional)",J30)</f>
        <v>0</v>
      </c>
      <c r="L30" s="185" t="str">
        <f>IF(OR(K30='Tabla Impacto'!$C$11,K30='Tabla Impacto'!$D$11),"Leve",IF(OR(K30='Tabla Impacto'!$C$12,K30='Tabla Impacto'!$D$12),"Menor",IF(OR(K30='Tabla Impacto'!$C$13,K30='Tabla Impacto'!$D$13),"Moderado",IF(OR(K30='Tabla Impacto'!$C$14,K30='Tabla Impacto'!$D$14),"Mayor",IF(OR(K30='Tabla Impacto'!$C$15,K30='Tabla Impacto'!$D$15),"Catastrófico","")))))</f>
        <v/>
      </c>
      <c r="M30" s="193" t="str">
        <f>IF(L30="","",IF(L30="Leve",0.2,IF(L30="Menor",0.4,IF(L30="Moderado",0.6,IF(L30="Mayor",0.8,IF(L30="Catastrófico",1,))))))</f>
        <v/>
      </c>
      <c r="N30" s="19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21">
        <v>1</v>
      </c>
      <c r="P30" s="122"/>
      <c r="Q30" s="123" t="str">
        <f>IF(OR(R30="Preventivo",R30="Detectivo"),"Probabilidad",IF(R30="Correctivo","Impacto",""))</f>
        <v/>
      </c>
      <c r="R30" s="124"/>
      <c r="S30" s="124"/>
      <c r="T30" s="125" t="str">
        <f>IF(AND(R30="Preventivo",S30="Automático"),"50%",IF(AND(R30="Preventivo",S30="Manual"),"40%",IF(AND(R30="Detectivo",S30="Automático"),"40%",IF(AND(R30="Detectivo",S30="Manual"),"30%",IF(AND(R30="Correctivo",S30="Automático"),"35%",IF(AND(R30="Correctivo",S30="Manual"),"25%",""))))))</f>
        <v/>
      </c>
      <c r="U30" s="124"/>
      <c r="V30" s="124"/>
      <c r="W30" s="124"/>
      <c r="X30" s="126" t="str">
        <f>IFERROR(IF(Q30="Probabilidad",(I30-(+I30*T30)),IF(Q30="Impacto",I30,"")),"")</f>
        <v/>
      </c>
      <c r="Y30" s="127" t="str">
        <f>IFERROR(IF(X30="","",IF(X30&lt;=0.2,"Muy Baja",IF(X30&lt;=0.4,"Baja",IF(X30&lt;=0.6,"Media",IF(X30&lt;=0.8,"Alta","Muy Alta"))))),"")</f>
        <v/>
      </c>
      <c r="Z30" s="128" t="str">
        <f>+X30</f>
        <v/>
      </c>
      <c r="AA30" s="127" t="str">
        <f>IFERROR(IF(AB30="","",IF(AB30&lt;=0.2,"Leve",IF(AB30&lt;=0.4,"Menor",IF(AB30&lt;=0.6,"Moderado",IF(AB30&lt;=0.8,"Mayor","Catastrófico"))))),"")</f>
        <v/>
      </c>
      <c r="AB30" s="128" t="str">
        <f>IFERROR(IF(Q30="Impacto",(M30-(+M30*T30)),IF(Q30="Probabilidad",M30,"")),"")</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0"/>
      <c r="AE30" s="131"/>
      <c r="AF30" s="132"/>
      <c r="AG30" s="133"/>
      <c r="AH30" s="133"/>
      <c r="AI30" s="131"/>
      <c r="AJ30" s="132"/>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row>
    <row r="31" spans="1:68" s="137" customFormat="1" ht="24" hidden="1" customHeight="1" x14ac:dyDescent="0.3">
      <c r="A31" s="188"/>
      <c r="B31" s="182"/>
      <c r="C31" s="182"/>
      <c r="D31" s="182"/>
      <c r="E31" s="182"/>
      <c r="F31" s="182"/>
      <c r="G31" s="184"/>
      <c r="H31" s="186"/>
      <c r="I31" s="194"/>
      <c r="J31" s="217"/>
      <c r="K31" s="194">
        <f t="shared" ref="K31:K35" si="31">IF(NOT(ISERROR(MATCH(J31,_xlfn.ANCHORARRAY(E42),0))),I44&amp;"Por favor no seleccionar los criterios de impacto",J31)</f>
        <v>0</v>
      </c>
      <c r="L31" s="186"/>
      <c r="M31" s="194"/>
      <c r="N31" s="192"/>
      <c r="O31" s="121">
        <v>2</v>
      </c>
      <c r="P31" s="122"/>
      <c r="Q31" s="123" t="str">
        <f>IF(OR(R31="Preventivo",R31="Detectivo"),"Probabilidad",IF(R31="Correctivo","Impacto",""))</f>
        <v/>
      </c>
      <c r="R31" s="124"/>
      <c r="S31" s="124"/>
      <c r="T31" s="125" t="str">
        <f t="shared" ref="T31:T35" si="32">IF(AND(R31="Preventivo",S31="Automático"),"50%",IF(AND(R31="Preventivo",S31="Manual"),"40%",IF(AND(R31="Detectivo",S31="Automático"),"40%",IF(AND(R31="Detectivo",S31="Manual"),"30%",IF(AND(R31="Correctivo",S31="Automático"),"35%",IF(AND(R31="Correctivo",S31="Manual"),"25%",""))))))</f>
        <v/>
      </c>
      <c r="U31" s="124"/>
      <c r="V31" s="124"/>
      <c r="W31" s="124"/>
      <c r="X31" s="126" t="str">
        <f>IFERROR(IF(AND(Q30="Probabilidad",Q31="Probabilidad"),(Z30-(+Z30*T31)),IF(Q31="Probabilidad",(I30-(+I30*T31)),IF(Q31="Impacto",Z30,""))),"")</f>
        <v/>
      </c>
      <c r="Y31" s="127" t="str">
        <f t="shared" si="1"/>
        <v/>
      </c>
      <c r="Z31" s="128" t="str">
        <f t="shared" ref="Z31:Z35" si="33">+X31</f>
        <v/>
      </c>
      <c r="AA31" s="127" t="str">
        <f t="shared" si="3"/>
        <v/>
      </c>
      <c r="AB31" s="128" t="str">
        <f>IFERROR(IF(AND(Q30="Impacto",Q31="Impacto"),(AB30-(+AB30*T31)),IF(Q31="Impacto",(M30-(+M30*T31)),IF(Q31="Probabilidad",AB30,""))),"")</f>
        <v/>
      </c>
      <c r="AC31" s="129" t="str">
        <f t="shared" ref="AC31:AC32" si="3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0"/>
      <c r="AE31" s="131"/>
      <c r="AF31" s="132"/>
      <c r="AG31" s="133"/>
      <c r="AH31" s="133"/>
      <c r="AI31" s="131"/>
      <c r="AJ31" s="132"/>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row>
    <row r="32" spans="1:68" s="137" customFormat="1" ht="24" hidden="1" customHeight="1" x14ac:dyDescent="0.3">
      <c r="A32" s="188"/>
      <c r="B32" s="182"/>
      <c r="C32" s="182"/>
      <c r="D32" s="182"/>
      <c r="E32" s="182"/>
      <c r="F32" s="182"/>
      <c r="G32" s="184"/>
      <c r="H32" s="186"/>
      <c r="I32" s="194"/>
      <c r="J32" s="217"/>
      <c r="K32" s="194">
        <f t="shared" si="31"/>
        <v>0</v>
      </c>
      <c r="L32" s="186"/>
      <c r="M32" s="194"/>
      <c r="N32" s="192"/>
      <c r="O32" s="121">
        <v>3</v>
      </c>
      <c r="P32" s="138"/>
      <c r="Q32" s="123" t="str">
        <f>IF(OR(R32="Preventivo",R32="Detectivo"),"Probabilidad",IF(R32="Correctivo","Impacto",""))</f>
        <v/>
      </c>
      <c r="R32" s="124"/>
      <c r="S32" s="124"/>
      <c r="T32" s="125" t="str">
        <f t="shared" si="32"/>
        <v/>
      </c>
      <c r="U32" s="124"/>
      <c r="V32" s="124"/>
      <c r="W32" s="124"/>
      <c r="X32" s="126" t="str">
        <f>IFERROR(IF(AND(Q31="Probabilidad",Q32="Probabilidad"),(Z31-(+Z31*T32)),IF(AND(Q31="Impacto",Q32="Probabilidad"),(Z30-(+Z30*T32)),IF(Q32="Impacto",Z31,""))),"")</f>
        <v/>
      </c>
      <c r="Y32" s="127" t="str">
        <f t="shared" si="1"/>
        <v/>
      </c>
      <c r="Z32" s="128" t="str">
        <f t="shared" si="33"/>
        <v/>
      </c>
      <c r="AA32" s="127" t="str">
        <f t="shared" si="3"/>
        <v/>
      </c>
      <c r="AB32" s="128" t="str">
        <f>IFERROR(IF(AND(Q31="Impacto",Q32="Impacto"),(AB31-(+AB31*T32)),IF(AND(Q31="Probabilidad",Q32="Impacto"),(AB30-(+AB30*T32)),IF(Q32="Probabilidad",AB31,""))),"")</f>
        <v/>
      </c>
      <c r="AC32" s="129" t="str">
        <f t="shared" si="34"/>
        <v/>
      </c>
      <c r="AD32" s="130"/>
      <c r="AE32" s="131"/>
      <c r="AF32" s="132"/>
      <c r="AG32" s="133"/>
      <c r="AH32" s="133"/>
      <c r="AI32" s="131"/>
      <c r="AJ32" s="132"/>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row>
    <row r="33" spans="1:68" s="137" customFormat="1" ht="24" hidden="1" customHeight="1" x14ac:dyDescent="0.3">
      <c r="A33" s="188"/>
      <c r="B33" s="182"/>
      <c r="C33" s="182"/>
      <c r="D33" s="182"/>
      <c r="E33" s="182"/>
      <c r="F33" s="182"/>
      <c r="G33" s="184"/>
      <c r="H33" s="186"/>
      <c r="I33" s="194"/>
      <c r="J33" s="217"/>
      <c r="K33" s="194">
        <f t="shared" si="31"/>
        <v>0</v>
      </c>
      <c r="L33" s="186"/>
      <c r="M33" s="194"/>
      <c r="N33" s="192"/>
      <c r="O33" s="121">
        <v>4</v>
      </c>
      <c r="P33" s="122"/>
      <c r="Q33" s="123" t="str">
        <f t="shared" ref="Q33:Q35" si="35">IF(OR(R33="Preventivo",R33="Detectivo"),"Probabilidad",IF(R33="Correctivo","Impacto",""))</f>
        <v/>
      </c>
      <c r="R33" s="124"/>
      <c r="S33" s="124"/>
      <c r="T33" s="125" t="str">
        <f t="shared" si="32"/>
        <v/>
      </c>
      <c r="U33" s="124"/>
      <c r="V33" s="124"/>
      <c r="W33" s="124"/>
      <c r="X33" s="126" t="str">
        <f t="shared" ref="X33:X35" si="36">IFERROR(IF(AND(Q32="Probabilidad",Q33="Probabilidad"),(Z32-(+Z32*T33)),IF(AND(Q32="Impacto",Q33="Probabilidad"),(Z31-(+Z31*T33)),IF(Q33="Impacto",Z32,""))),"")</f>
        <v/>
      </c>
      <c r="Y33" s="127" t="str">
        <f t="shared" si="1"/>
        <v/>
      </c>
      <c r="Z33" s="128" t="str">
        <f t="shared" si="33"/>
        <v/>
      </c>
      <c r="AA33" s="127" t="str">
        <f t="shared" si="3"/>
        <v/>
      </c>
      <c r="AB33" s="128" t="str">
        <f t="shared" ref="AB33:AB35" si="37">IFERROR(IF(AND(Q32="Impacto",Q33="Impacto"),(AB32-(+AB32*T33)),IF(AND(Q32="Probabilidad",Q33="Impacto"),(AB31-(+AB31*T33)),IF(Q33="Probabilidad",AB32,""))),"")</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0"/>
      <c r="AE33" s="131"/>
      <c r="AF33" s="132"/>
      <c r="AG33" s="133"/>
      <c r="AH33" s="133"/>
      <c r="AI33" s="131"/>
      <c r="AJ33" s="132"/>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row>
    <row r="34" spans="1:68" s="137" customFormat="1" ht="24" hidden="1" customHeight="1" x14ac:dyDescent="0.3">
      <c r="A34" s="188"/>
      <c r="B34" s="182"/>
      <c r="C34" s="182"/>
      <c r="D34" s="182"/>
      <c r="E34" s="182"/>
      <c r="F34" s="182"/>
      <c r="G34" s="184"/>
      <c r="H34" s="186"/>
      <c r="I34" s="194"/>
      <c r="J34" s="217"/>
      <c r="K34" s="194">
        <f t="shared" si="31"/>
        <v>0</v>
      </c>
      <c r="L34" s="186"/>
      <c r="M34" s="194"/>
      <c r="N34" s="192"/>
      <c r="O34" s="121">
        <v>5</v>
      </c>
      <c r="P34" s="122"/>
      <c r="Q34" s="123" t="str">
        <f t="shared" si="35"/>
        <v/>
      </c>
      <c r="R34" s="124"/>
      <c r="S34" s="124"/>
      <c r="T34" s="125" t="str">
        <f t="shared" si="32"/>
        <v/>
      </c>
      <c r="U34" s="124"/>
      <c r="V34" s="124"/>
      <c r="W34" s="124"/>
      <c r="X34" s="126" t="str">
        <f t="shared" si="36"/>
        <v/>
      </c>
      <c r="Y34" s="127" t="str">
        <f t="shared" si="1"/>
        <v/>
      </c>
      <c r="Z34" s="128" t="str">
        <f t="shared" si="33"/>
        <v/>
      </c>
      <c r="AA34" s="127" t="str">
        <f t="shared" si="3"/>
        <v/>
      </c>
      <c r="AB34" s="128" t="str">
        <f t="shared" si="37"/>
        <v/>
      </c>
      <c r="AC34" s="129" t="str">
        <f t="shared" ref="AC34" si="3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0"/>
      <c r="AE34" s="131"/>
      <c r="AF34" s="132"/>
      <c r="AG34" s="133"/>
      <c r="AH34" s="133"/>
      <c r="AI34" s="131"/>
      <c r="AJ34" s="132"/>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row>
    <row r="35" spans="1:68" s="137" customFormat="1" ht="24" hidden="1" customHeight="1" x14ac:dyDescent="0.3">
      <c r="A35" s="218"/>
      <c r="B35" s="219"/>
      <c r="C35" s="219"/>
      <c r="D35" s="219"/>
      <c r="E35" s="219"/>
      <c r="F35" s="219"/>
      <c r="G35" s="220"/>
      <c r="H35" s="221"/>
      <c r="I35" s="222"/>
      <c r="J35" s="223"/>
      <c r="K35" s="222">
        <f t="shared" si="31"/>
        <v>0</v>
      </c>
      <c r="L35" s="221"/>
      <c r="M35" s="222"/>
      <c r="N35" s="224"/>
      <c r="O35" s="121">
        <v>6</v>
      </c>
      <c r="P35" s="122"/>
      <c r="Q35" s="123" t="str">
        <f t="shared" si="35"/>
        <v/>
      </c>
      <c r="R35" s="124"/>
      <c r="S35" s="124"/>
      <c r="T35" s="125" t="str">
        <f t="shared" si="32"/>
        <v/>
      </c>
      <c r="U35" s="124"/>
      <c r="V35" s="124"/>
      <c r="W35" s="124"/>
      <c r="X35" s="126" t="str">
        <f t="shared" si="36"/>
        <v/>
      </c>
      <c r="Y35" s="127" t="str">
        <f t="shared" si="1"/>
        <v/>
      </c>
      <c r="Z35" s="128" t="str">
        <f t="shared" si="33"/>
        <v/>
      </c>
      <c r="AA35" s="127" t="str">
        <f>IFERROR(IF(AB35="","",IF(AB35&lt;=0.2,"Leve",IF(AB35&lt;=0.4,"Menor",IF(AB35&lt;=0.6,"Moderado",IF(AB35&lt;=0.8,"Mayor","Catastrófico"))))),"")</f>
        <v/>
      </c>
      <c r="AB35" s="128" t="str">
        <f t="shared" si="37"/>
        <v/>
      </c>
      <c r="AC35" s="129"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0"/>
      <c r="AE35" s="131"/>
      <c r="AF35" s="132"/>
      <c r="AG35" s="133"/>
      <c r="AH35" s="133"/>
      <c r="AI35" s="131"/>
      <c r="AJ35" s="132"/>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row>
    <row r="36" spans="1:68" s="137" customFormat="1" ht="24" hidden="1" customHeight="1" x14ac:dyDescent="0.3">
      <c r="A36" s="187">
        <v>7</v>
      </c>
      <c r="B36" s="181"/>
      <c r="C36" s="181"/>
      <c r="D36" s="181"/>
      <c r="E36" s="181"/>
      <c r="F36" s="181"/>
      <c r="G36" s="183"/>
      <c r="H36" s="185" t="str">
        <f>IF(G36&lt;=0,"",IF(G36&lt;=2,"Muy Baja",IF(G36&lt;=24,"Baja",IF(G36&lt;=500,"Media",IF(G36&lt;=5000,"Alta","Muy Alta")))))</f>
        <v/>
      </c>
      <c r="I36" s="193" t="str">
        <f>IF(H36="","",IF(H36="Muy Baja",0.2,IF(H36="Baja",0.4,IF(H36="Media",0.6,IF(H36="Alta",0.8,IF(H36="Muy Alta",1,))))))</f>
        <v/>
      </c>
      <c r="J36" s="216"/>
      <c r="K36" s="193">
        <f>IF(NOT(ISERROR(MATCH(J36,'Tabla Impacto'!$B$221:$B$223,0))),'Tabla Impacto'!$F$223&amp;"Por favor no seleccionar los criterios de impacto(Afectación Económica o presupuestal y Pérdida Reputacional)",J36)</f>
        <v>0</v>
      </c>
      <c r="L36" s="185" t="str">
        <f>IF(OR(K36='Tabla Impacto'!$C$11,K36='Tabla Impacto'!$D$11),"Leve",IF(OR(K36='Tabla Impacto'!$C$12,K36='Tabla Impacto'!$D$12),"Menor",IF(OR(K36='Tabla Impacto'!$C$13,K36='Tabla Impacto'!$D$13),"Moderado",IF(OR(K36='Tabla Impacto'!$C$14,K36='Tabla Impacto'!$D$14),"Mayor",IF(OR(K36='Tabla Impacto'!$C$15,K36='Tabla Impacto'!$D$15),"Catastrófico","")))))</f>
        <v/>
      </c>
      <c r="M36" s="193" t="str">
        <f>IF(L36="","",IF(L36="Leve",0.2,IF(L36="Menor",0.4,IF(L36="Moderado",0.6,IF(L36="Mayor",0.8,IF(L36="Catastrófico",1,))))))</f>
        <v/>
      </c>
      <c r="N36" s="19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21">
        <v>1</v>
      </c>
      <c r="P36" s="122"/>
      <c r="Q36" s="123" t="str">
        <f>IF(OR(R36="Preventivo",R36="Detectivo"),"Probabilidad",IF(R36="Correctivo","Impacto",""))</f>
        <v/>
      </c>
      <c r="R36" s="124"/>
      <c r="S36" s="124"/>
      <c r="T36" s="125" t="str">
        <f>IF(AND(R36="Preventivo",S36="Automático"),"50%",IF(AND(R36="Preventivo",S36="Manual"),"40%",IF(AND(R36="Detectivo",S36="Automático"),"40%",IF(AND(R36="Detectivo",S36="Manual"),"30%",IF(AND(R36="Correctivo",S36="Automático"),"35%",IF(AND(R36="Correctivo",S36="Manual"),"25%",""))))))</f>
        <v/>
      </c>
      <c r="U36" s="124"/>
      <c r="V36" s="124"/>
      <c r="W36" s="124"/>
      <c r="X36" s="126" t="str">
        <f>IFERROR(IF(Q36="Probabilidad",(I36-(+I36*T36)),IF(Q36="Impacto",I36,"")),"")</f>
        <v/>
      </c>
      <c r="Y36" s="127" t="str">
        <f>IFERROR(IF(X36="","",IF(X36&lt;=0.2,"Muy Baja",IF(X36&lt;=0.4,"Baja",IF(X36&lt;=0.6,"Media",IF(X36&lt;=0.8,"Alta","Muy Alta"))))),"")</f>
        <v/>
      </c>
      <c r="Z36" s="128" t="str">
        <f>+X36</f>
        <v/>
      </c>
      <c r="AA36" s="127" t="str">
        <f>IFERROR(IF(AB36="","",IF(AB36&lt;=0.2,"Leve",IF(AB36&lt;=0.4,"Menor",IF(AB36&lt;=0.6,"Moderado",IF(AB36&lt;=0.8,"Mayor","Catastrófico"))))),"")</f>
        <v/>
      </c>
      <c r="AB36" s="128" t="str">
        <f>IFERROR(IF(Q36="Impacto",(M36-(+M36*T36)),IF(Q36="Probabilidad",M36,"")),"")</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0"/>
      <c r="AE36" s="131"/>
      <c r="AF36" s="132"/>
      <c r="AG36" s="133"/>
      <c r="AH36" s="133"/>
      <c r="AI36" s="131"/>
      <c r="AJ36" s="132"/>
      <c r="AK36" s="136"/>
      <c r="AL36" s="136"/>
      <c r="AM36" s="136"/>
      <c r="AN36" s="136"/>
      <c r="AO36" s="136"/>
      <c r="AP36" s="136"/>
      <c r="AQ36" s="136"/>
      <c r="AR36" s="136"/>
      <c r="AS36" s="136"/>
      <c r="AT36" s="136"/>
      <c r="AU36" s="136"/>
      <c r="AV36" s="136"/>
      <c r="AW36" s="136"/>
      <c r="AX36" s="136"/>
      <c r="AY36" s="136"/>
      <c r="AZ36" s="136"/>
      <c r="BA36" s="136"/>
      <c r="BB36" s="136"/>
      <c r="BC36" s="136"/>
      <c r="BD36" s="136"/>
      <c r="BE36" s="136"/>
      <c r="BF36" s="136"/>
      <c r="BG36" s="136"/>
      <c r="BH36" s="136"/>
      <c r="BI36" s="136"/>
      <c r="BJ36" s="136"/>
      <c r="BK36" s="136"/>
      <c r="BL36" s="136"/>
      <c r="BM36" s="136"/>
      <c r="BN36" s="136"/>
      <c r="BO36" s="136"/>
      <c r="BP36" s="136"/>
    </row>
    <row r="37" spans="1:68" s="137" customFormat="1" ht="24" hidden="1" customHeight="1" x14ac:dyDescent="0.3">
      <c r="A37" s="188"/>
      <c r="B37" s="182"/>
      <c r="C37" s="182"/>
      <c r="D37" s="182"/>
      <c r="E37" s="182"/>
      <c r="F37" s="182"/>
      <c r="G37" s="184"/>
      <c r="H37" s="186"/>
      <c r="I37" s="194"/>
      <c r="J37" s="217"/>
      <c r="K37" s="194">
        <f t="shared" ref="K37:K41" si="39">IF(NOT(ISERROR(MATCH(J37,_xlfn.ANCHORARRAY(E48),0))),I50&amp;"Por favor no seleccionar los criterios de impacto",J37)</f>
        <v>0</v>
      </c>
      <c r="L37" s="186"/>
      <c r="M37" s="194"/>
      <c r="N37" s="192"/>
      <c r="O37" s="121">
        <v>2</v>
      </c>
      <c r="P37" s="122"/>
      <c r="Q37" s="123" t="str">
        <f>IF(OR(R37="Preventivo",R37="Detectivo"),"Probabilidad",IF(R37="Correctivo","Impacto",""))</f>
        <v/>
      </c>
      <c r="R37" s="124"/>
      <c r="S37" s="124"/>
      <c r="T37" s="125" t="str">
        <f t="shared" ref="T37:T41" si="40">IF(AND(R37="Preventivo",S37="Automático"),"50%",IF(AND(R37="Preventivo",S37="Manual"),"40%",IF(AND(R37="Detectivo",S37="Automático"),"40%",IF(AND(R37="Detectivo",S37="Manual"),"30%",IF(AND(R37="Correctivo",S37="Automático"),"35%",IF(AND(R37="Correctivo",S37="Manual"),"25%",""))))))</f>
        <v/>
      </c>
      <c r="U37" s="124"/>
      <c r="V37" s="124"/>
      <c r="W37" s="124"/>
      <c r="X37" s="126" t="str">
        <f>IFERROR(IF(AND(Q36="Probabilidad",Q37="Probabilidad"),(Z36-(+Z36*T37)),IF(Q37="Probabilidad",(I36-(+I36*T37)),IF(Q37="Impacto",Z36,""))),"")</f>
        <v/>
      </c>
      <c r="Y37" s="127" t="str">
        <f t="shared" si="1"/>
        <v/>
      </c>
      <c r="Z37" s="128" t="str">
        <f t="shared" ref="Z37:Z41" si="41">+X37</f>
        <v/>
      </c>
      <c r="AA37" s="127" t="str">
        <f t="shared" si="3"/>
        <v/>
      </c>
      <c r="AB37" s="128" t="str">
        <f>IFERROR(IF(AND(Q36="Impacto",Q37="Impacto"),(AB36-(+AB36*T37)),IF(Q37="Impacto",(M36-(+M36*T37)),IF(Q37="Probabilidad",AB36,""))),"")</f>
        <v/>
      </c>
      <c r="AC37" s="129" t="str">
        <f t="shared" ref="AC37:AC38" si="4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0"/>
      <c r="AE37" s="131"/>
      <c r="AF37" s="132"/>
      <c r="AG37" s="133"/>
      <c r="AH37" s="133"/>
      <c r="AI37" s="131"/>
      <c r="AJ37" s="132"/>
      <c r="AK37" s="136"/>
      <c r="AL37" s="136"/>
      <c r="AM37" s="136"/>
      <c r="AN37" s="136"/>
      <c r="AO37" s="136"/>
      <c r="AP37" s="136"/>
      <c r="AQ37" s="136"/>
      <c r="AR37" s="136"/>
      <c r="AS37" s="136"/>
      <c r="AT37" s="136"/>
      <c r="AU37" s="136"/>
      <c r="AV37" s="136"/>
      <c r="AW37" s="136"/>
      <c r="AX37" s="136"/>
      <c r="AY37" s="136"/>
      <c r="AZ37" s="136"/>
      <c r="BA37" s="136"/>
      <c r="BB37" s="136"/>
      <c r="BC37" s="136"/>
      <c r="BD37" s="136"/>
      <c r="BE37" s="136"/>
      <c r="BF37" s="136"/>
      <c r="BG37" s="136"/>
      <c r="BH37" s="136"/>
      <c r="BI37" s="136"/>
      <c r="BJ37" s="136"/>
      <c r="BK37" s="136"/>
      <c r="BL37" s="136"/>
      <c r="BM37" s="136"/>
      <c r="BN37" s="136"/>
      <c r="BO37" s="136"/>
      <c r="BP37" s="136"/>
    </row>
    <row r="38" spans="1:68" s="137" customFormat="1" ht="24" hidden="1" customHeight="1" x14ac:dyDescent="0.3">
      <c r="A38" s="188"/>
      <c r="B38" s="182"/>
      <c r="C38" s="182"/>
      <c r="D38" s="182"/>
      <c r="E38" s="182"/>
      <c r="F38" s="182"/>
      <c r="G38" s="184"/>
      <c r="H38" s="186"/>
      <c r="I38" s="194"/>
      <c r="J38" s="217"/>
      <c r="K38" s="194">
        <f t="shared" si="39"/>
        <v>0</v>
      </c>
      <c r="L38" s="186"/>
      <c r="M38" s="194"/>
      <c r="N38" s="192"/>
      <c r="O38" s="121">
        <v>3</v>
      </c>
      <c r="P38" s="138"/>
      <c r="Q38" s="123" t="str">
        <f>IF(OR(R38="Preventivo",R38="Detectivo"),"Probabilidad",IF(R38="Correctivo","Impacto",""))</f>
        <v/>
      </c>
      <c r="R38" s="124"/>
      <c r="S38" s="124"/>
      <c r="T38" s="125" t="str">
        <f t="shared" si="40"/>
        <v/>
      </c>
      <c r="U38" s="124"/>
      <c r="V38" s="124"/>
      <c r="W38" s="124"/>
      <c r="X38" s="126" t="str">
        <f>IFERROR(IF(AND(Q37="Probabilidad",Q38="Probabilidad"),(Z37-(+Z37*T38)),IF(AND(Q37="Impacto",Q38="Probabilidad"),(Z36-(+Z36*T38)),IF(Q38="Impacto",Z37,""))),"")</f>
        <v/>
      </c>
      <c r="Y38" s="127" t="str">
        <f t="shared" si="1"/>
        <v/>
      </c>
      <c r="Z38" s="128" t="str">
        <f t="shared" si="41"/>
        <v/>
      </c>
      <c r="AA38" s="127" t="str">
        <f t="shared" si="3"/>
        <v/>
      </c>
      <c r="AB38" s="128" t="str">
        <f>IFERROR(IF(AND(Q37="Impacto",Q38="Impacto"),(AB37-(+AB37*T38)),IF(AND(Q37="Probabilidad",Q38="Impacto"),(AB36-(+AB36*T38)),IF(Q38="Probabilidad",AB37,""))),"")</f>
        <v/>
      </c>
      <c r="AC38" s="129" t="str">
        <f t="shared" si="42"/>
        <v/>
      </c>
      <c r="AD38" s="130"/>
      <c r="AE38" s="131"/>
      <c r="AF38" s="132"/>
      <c r="AG38" s="133"/>
      <c r="AH38" s="133"/>
      <c r="AI38" s="131"/>
      <c r="AJ38" s="132"/>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row>
    <row r="39" spans="1:68" s="137" customFormat="1" ht="24" hidden="1" customHeight="1" x14ac:dyDescent="0.3">
      <c r="A39" s="188"/>
      <c r="B39" s="182"/>
      <c r="C39" s="182"/>
      <c r="D39" s="182"/>
      <c r="E39" s="182"/>
      <c r="F39" s="182"/>
      <c r="G39" s="184"/>
      <c r="H39" s="186"/>
      <c r="I39" s="194"/>
      <c r="J39" s="217"/>
      <c r="K39" s="194">
        <f t="shared" si="39"/>
        <v>0</v>
      </c>
      <c r="L39" s="186"/>
      <c r="M39" s="194"/>
      <c r="N39" s="192"/>
      <c r="O39" s="121">
        <v>4</v>
      </c>
      <c r="P39" s="122"/>
      <c r="Q39" s="123" t="str">
        <f t="shared" ref="Q39:Q41" si="43">IF(OR(R39="Preventivo",R39="Detectivo"),"Probabilidad",IF(R39="Correctivo","Impacto",""))</f>
        <v/>
      </c>
      <c r="R39" s="124"/>
      <c r="S39" s="124"/>
      <c r="T39" s="125" t="str">
        <f t="shared" si="40"/>
        <v/>
      </c>
      <c r="U39" s="124"/>
      <c r="V39" s="124"/>
      <c r="W39" s="124"/>
      <c r="X39" s="126" t="str">
        <f t="shared" ref="X39:X41" si="44">IFERROR(IF(AND(Q38="Probabilidad",Q39="Probabilidad"),(Z38-(+Z38*T39)),IF(AND(Q38="Impacto",Q39="Probabilidad"),(Z37-(+Z37*T39)),IF(Q39="Impacto",Z38,""))),"")</f>
        <v/>
      </c>
      <c r="Y39" s="127" t="str">
        <f t="shared" si="1"/>
        <v/>
      </c>
      <c r="Z39" s="128" t="str">
        <f t="shared" si="41"/>
        <v/>
      </c>
      <c r="AA39" s="127" t="str">
        <f t="shared" si="3"/>
        <v/>
      </c>
      <c r="AB39" s="128" t="str">
        <f t="shared" ref="AB39:AB41" si="45">IFERROR(IF(AND(Q38="Impacto",Q39="Impacto"),(AB38-(+AB38*T39)),IF(AND(Q38="Probabilidad",Q39="Impacto"),(AB37-(+AB37*T39)),IF(Q39="Probabilidad",AB38,""))),"")</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0"/>
      <c r="AE39" s="131"/>
      <c r="AF39" s="132"/>
      <c r="AG39" s="133"/>
      <c r="AH39" s="133"/>
      <c r="AI39" s="131"/>
      <c r="AJ39" s="132"/>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c r="BJ39" s="136"/>
      <c r="BK39" s="136"/>
      <c r="BL39" s="136"/>
      <c r="BM39" s="136"/>
      <c r="BN39" s="136"/>
      <c r="BO39" s="136"/>
      <c r="BP39" s="136"/>
    </row>
    <row r="40" spans="1:68" s="137" customFormat="1" ht="24" hidden="1" customHeight="1" x14ac:dyDescent="0.3">
      <c r="A40" s="188"/>
      <c r="B40" s="182"/>
      <c r="C40" s="182"/>
      <c r="D40" s="182"/>
      <c r="E40" s="182"/>
      <c r="F40" s="182"/>
      <c r="G40" s="184"/>
      <c r="H40" s="186"/>
      <c r="I40" s="194"/>
      <c r="J40" s="217"/>
      <c r="K40" s="194">
        <f t="shared" si="39"/>
        <v>0</v>
      </c>
      <c r="L40" s="186"/>
      <c r="M40" s="194"/>
      <c r="N40" s="192"/>
      <c r="O40" s="121">
        <v>5</v>
      </c>
      <c r="P40" s="122"/>
      <c r="Q40" s="123" t="str">
        <f t="shared" si="43"/>
        <v/>
      </c>
      <c r="R40" s="124"/>
      <c r="S40" s="124"/>
      <c r="T40" s="125" t="str">
        <f t="shared" si="40"/>
        <v/>
      </c>
      <c r="U40" s="124"/>
      <c r="V40" s="124"/>
      <c r="W40" s="124"/>
      <c r="X40" s="126" t="str">
        <f t="shared" si="44"/>
        <v/>
      </c>
      <c r="Y40" s="127" t="str">
        <f t="shared" si="1"/>
        <v/>
      </c>
      <c r="Z40" s="128" t="str">
        <f t="shared" si="41"/>
        <v/>
      </c>
      <c r="AA40" s="127" t="str">
        <f t="shared" si="3"/>
        <v/>
      </c>
      <c r="AB40" s="128" t="str">
        <f t="shared" si="45"/>
        <v/>
      </c>
      <c r="AC40" s="129" t="str">
        <f t="shared" ref="AC40:AC41" si="46">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0"/>
      <c r="AE40" s="131"/>
      <c r="AF40" s="132"/>
      <c r="AG40" s="133"/>
      <c r="AH40" s="133"/>
      <c r="AI40" s="131"/>
      <c r="AJ40" s="132"/>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row>
    <row r="41" spans="1:68" s="137" customFormat="1" ht="24" hidden="1" customHeight="1" x14ac:dyDescent="0.3">
      <c r="A41" s="218"/>
      <c r="B41" s="219"/>
      <c r="C41" s="219"/>
      <c r="D41" s="219"/>
      <c r="E41" s="219"/>
      <c r="F41" s="219"/>
      <c r="G41" s="220"/>
      <c r="H41" s="221"/>
      <c r="I41" s="222"/>
      <c r="J41" s="223"/>
      <c r="K41" s="222">
        <f t="shared" si="39"/>
        <v>0</v>
      </c>
      <c r="L41" s="221"/>
      <c r="M41" s="222"/>
      <c r="N41" s="224"/>
      <c r="O41" s="121">
        <v>6</v>
      </c>
      <c r="P41" s="122"/>
      <c r="Q41" s="123" t="str">
        <f t="shared" si="43"/>
        <v/>
      </c>
      <c r="R41" s="124"/>
      <c r="S41" s="124"/>
      <c r="T41" s="125" t="str">
        <f t="shared" si="40"/>
        <v/>
      </c>
      <c r="U41" s="124"/>
      <c r="V41" s="124"/>
      <c r="W41" s="124"/>
      <c r="X41" s="126" t="str">
        <f t="shared" si="44"/>
        <v/>
      </c>
      <c r="Y41" s="127" t="str">
        <f t="shared" si="1"/>
        <v/>
      </c>
      <c r="Z41" s="128" t="str">
        <f t="shared" si="41"/>
        <v/>
      </c>
      <c r="AA41" s="127" t="str">
        <f t="shared" si="3"/>
        <v/>
      </c>
      <c r="AB41" s="128" t="str">
        <f t="shared" si="45"/>
        <v/>
      </c>
      <c r="AC41" s="129" t="str">
        <f t="shared" si="46"/>
        <v/>
      </c>
      <c r="AD41" s="130"/>
      <c r="AE41" s="131"/>
      <c r="AF41" s="132"/>
      <c r="AG41" s="133"/>
      <c r="AH41" s="133"/>
      <c r="AI41" s="131"/>
      <c r="AJ41" s="132"/>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row>
    <row r="42" spans="1:68" s="137" customFormat="1" ht="24" hidden="1" customHeight="1" x14ac:dyDescent="0.3">
      <c r="A42" s="187">
        <v>8</v>
      </c>
      <c r="B42" s="181"/>
      <c r="C42" s="181"/>
      <c r="D42" s="181"/>
      <c r="E42" s="181"/>
      <c r="F42" s="181"/>
      <c r="G42" s="183"/>
      <c r="H42" s="185" t="str">
        <f>IF(G42&lt;=0,"",IF(G42&lt;=2,"Muy Baja",IF(G42&lt;=24,"Baja",IF(G42&lt;=500,"Media",IF(G42&lt;=5000,"Alta","Muy Alta")))))</f>
        <v/>
      </c>
      <c r="I42" s="193" t="str">
        <f>IF(H42="","",IF(H42="Muy Baja",0.2,IF(H42="Baja",0.4,IF(H42="Media",0.6,IF(H42="Alta",0.8,IF(H42="Muy Alta",1,))))))</f>
        <v/>
      </c>
      <c r="J42" s="216"/>
      <c r="K42" s="193">
        <f>IF(NOT(ISERROR(MATCH(J42,'Tabla Impacto'!$B$221:$B$223,0))),'Tabla Impacto'!$F$223&amp;"Por favor no seleccionar los criterios de impacto(Afectación Económica o presupuestal y Pérdida Reputacional)",J42)</f>
        <v>0</v>
      </c>
      <c r="L42" s="185" t="str">
        <f>IF(OR(K42='Tabla Impacto'!$C$11,K42='Tabla Impacto'!$D$11),"Leve",IF(OR(K42='Tabla Impacto'!$C$12,K42='Tabla Impacto'!$D$12),"Menor",IF(OR(K42='Tabla Impacto'!$C$13,K42='Tabla Impacto'!$D$13),"Moderado",IF(OR(K42='Tabla Impacto'!$C$14,K42='Tabla Impacto'!$D$14),"Mayor",IF(OR(K42='Tabla Impacto'!$C$15,K42='Tabla Impacto'!$D$15),"Catastrófico","")))))</f>
        <v/>
      </c>
      <c r="M42" s="193" t="str">
        <f>IF(L42="","",IF(L42="Leve",0.2,IF(L42="Menor",0.4,IF(L42="Moderado",0.6,IF(L42="Mayor",0.8,IF(L42="Catastrófico",1,))))))</f>
        <v/>
      </c>
      <c r="N42" s="19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21">
        <v>1</v>
      </c>
      <c r="P42" s="122"/>
      <c r="Q42" s="123" t="str">
        <f>IF(OR(R42="Preventivo",R42="Detectivo"),"Probabilidad",IF(R42="Correctivo","Impacto",""))</f>
        <v/>
      </c>
      <c r="R42" s="124"/>
      <c r="S42" s="124"/>
      <c r="T42" s="125" t="str">
        <f>IF(AND(R42="Preventivo",S42="Automático"),"50%",IF(AND(R42="Preventivo",S42="Manual"),"40%",IF(AND(R42="Detectivo",S42="Automático"),"40%",IF(AND(R42="Detectivo",S42="Manual"),"30%",IF(AND(R42="Correctivo",S42="Automático"),"35%",IF(AND(R42="Correctivo",S42="Manual"),"25%",""))))))</f>
        <v/>
      </c>
      <c r="U42" s="124"/>
      <c r="V42" s="124"/>
      <c r="W42" s="124"/>
      <c r="X42" s="126" t="str">
        <f>IFERROR(IF(Q42="Probabilidad",(I42-(+I42*T42)),IF(Q42="Impacto",I42,"")),"")</f>
        <v/>
      </c>
      <c r="Y42" s="127" t="str">
        <f>IFERROR(IF(X42="","",IF(X42&lt;=0.2,"Muy Baja",IF(X42&lt;=0.4,"Baja",IF(X42&lt;=0.6,"Media",IF(X42&lt;=0.8,"Alta","Muy Alta"))))),"")</f>
        <v/>
      </c>
      <c r="Z42" s="128" t="str">
        <f>+X42</f>
        <v/>
      </c>
      <c r="AA42" s="127" t="str">
        <f>IFERROR(IF(AB42="","",IF(AB42&lt;=0.2,"Leve",IF(AB42&lt;=0.4,"Menor",IF(AB42&lt;=0.6,"Moderado",IF(AB42&lt;=0.8,"Mayor","Catastrófico"))))),"")</f>
        <v/>
      </c>
      <c r="AB42" s="128" t="str">
        <f>IFERROR(IF(Q42="Impacto",(M42-(+M42*T42)),IF(Q42="Probabilidad",M42,"")),"")</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0"/>
      <c r="AE42" s="131"/>
      <c r="AF42" s="132"/>
      <c r="AG42" s="133"/>
      <c r="AH42" s="133"/>
      <c r="AI42" s="131"/>
      <c r="AJ42" s="132"/>
      <c r="AK42" s="136"/>
      <c r="AL42" s="136"/>
      <c r="AM42" s="136"/>
      <c r="AN42" s="136"/>
      <c r="AO42" s="136"/>
      <c r="AP42" s="136"/>
      <c r="AQ42" s="136"/>
      <c r="AR42" s="136"/>
      <c r="AS42" s="136"/>
      <c r="AT42" s="136"/>
      <c r="AU42" s="136"/>
      <c r="AV42" s="136"/>
      <c r="AW42" s="136"/>
      <c r="AX42" s="136"/>
      <c r="AY42" s="136"/>
      <c r="AZ42" s="136"/>
      <c r="BA42" s="136"/>
      <c r="BB42" s="136"/>
      <c r="BC42" s="136"/>
      <c r="BD42" s="136"/>
      <c r="BE42" s="136"/>
      <c r="BF42" s="136"/>
      <c r="BG42" s="136"/>
      <c r="BH42" s="136"/>
      <c r="BI42" s="136"/>
      <c r="BJ42" s="136"/>
      <c r="BK42" s="136"/>
      <c r="BL42" s="136"/>
      <c r="BM42" s="136"/>
      <c r="BN42" s="136"/>
      <c r="BO42" s="136"/>
      <c r="BP42" s="136"/>
    </row>
    <row r="43" spans="1:68" s="137" customFormat="1" ht="24" hidden="1" customHeight="1" x14ac:dyDescent="0.3">
      <c r="A43" s="188"/>
      <c r="B43" s="182"/>
      <c r="C43" s="182"/>
      <c r="D43" s="182"/>
      <c r="E43" s="182"/>
      <c r="F43" s="182"/>
      <c r="G43" s="184"/>
      <c r="H43" s="186"/>
      <c r="I43" s="194"/>
      <c r="J43" s="217"/>
      <c r="K43" s="194">
        <f>IF(NOT(ISERROR(MATCH(J43,_xlfn.ANCHORARRAY(E54),0))),I56&amp;"Por favor no seleccionar los criterios de impacto",J43)</f>
        <v>0</v>
      </c>
      <c r="L43" s="186"/>
      <c r="M43" s="194"/>
      <c r="N43" s="192"/>
      <c r="O43" s="121">
        <v>2</v>
      </c>
      <c r="P43" s="122"/>
      <c r="Q43" s="123" t="str">
        <f>IF(OR(R43="Preventivo",R43="Detectivo"),"Probabilidad",IF(R43="Correctivo","Impacto",""))</f>
        <v/>
      </c>
      <c r="R43" s="124"/>
      <c r="S43" s="124"/>
      <c r="T43" s="125" t="str">
        <f t="shared" ref="T43:T47" si="47">IF(AND(R43="Preventivo",S43="Automático"),"50%",IF(AND(R43="Preventivo",S43="Manual"),"40%",IF(AND(R43="Detectivo",S43="Automático"),"40%",IF(AND(R43="Detectivo",S43="Manual"),"30%",IF(AND(R43="Correctivo",S43="Automático"),"35%",IF(AND(R43="Correctivo",S43="Manual"),"25%",""))))))</f>
        <v/>
      </c>
      <c r="U43" s="124"/>
      <c r="V43" s="124"/>
      <c r="W43" s="124"/>
      <c r="X43" s="126" t="str">
        <f>IFERROR(IF(AND(Q42="Probabilidad",Q43="Probabilidad"),(Z42-(+Z42*T43)),IF(Q43="Probabilidad",(I42-(+I42*T43)),IF(Q43="Impacto",Z42,""))),"")</f>
        <v/>
      </c>
      <c r="Y43" s="127" t="str">
        <f t="shared" si="1"/>
        <v/>
      </c>
      <c r="Z43" s="128" t="str">
        <f t="shared" ref="Z43:Z47" si="48">+X43</f>
        <v/>
      </c>
      <c r="AA43" s="127" t="str">
        <f t="shared" si="3"/>
        <v/>
      </c>
      <c r="AB43" s="128" t="str">
        <f>IFERROR(IF(AND(Q42="Impacto",Q43="Impacto"),(AB42-(+AB42*T43)),IF(Q43="Impacto",(M42-(+M42*T43)),IF(Q43="Probabilidad",AB42,""))),"")</f>
        <v/>
      </c>
      <c r="AC43" s="129" t="str">
        <f t="shared" ref="AC43:AC44" si="4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0"/>
      <c r="AE43" s="131"/>
      <c r="AF43" s="132"/>
      <c r="AG43" s="133"/>
      <c r="AH43" s="133"/>
      <c r="AI43" s="131"/>
      <c r="AJ43" s="132"/>
      <c r="AK43" s="136"/>
      <c r="AL43" s="136"/>
      <c r="AM43" s="136"/>
      <c r="AN43" s="136"/>
      <c r="AO43" s="136"/>
      <c r="AP43" s="136"/>
      <c r="AQ43" s="136"/>
      <c r="AR43" s="136"/>
      <c r="AS43" s="136"/>
      <c r="AT43" s="136"/>
      <c r="AU43" s="136"/>
      <c r="AV43" s="136"/>
      <c r="AW43" s="136"/>
      <c r="AX43" s="136"/>
      <c r="AY43" s="136"/>
      <c r="AZ43" s="136"/>
      <c r="BA43" s="136"/>
      <c r="BB43" s="136"/>
      <c r="BC43" s="136"/>
      <c r="BD43" s="136"/>
      <c r="BE43" s="136"/>
      <c r="BF43" s="136"/>
      <c r="BG43" s="136"/>
      <c r="BH43" s="136"/>
      <c r="BI43" s="136"/>
      <c r="BJ43" s="136"/>
      <c r="BK43" s="136"/>
      <c r="BL43" s="136"/>
      <c r="BM43" s="136"/>
      <c r="BN43" s="136"/>
      <c r="BO43" s="136"/>
      <c r="BP43" s="136"/>
    </row>
    <row r="44" spans="1:68" s="137" customFormat="1" ht="24" hidden="1" customHeight="1" x14ac:dyDescent="0.3">
      <c r="A44" s="188"/>
      <c r="B44" s="182"/>
      <c r="C44" s="182"/>
      <c r="D44" s="182"/>
      <c r="E44" s="182"/>
      <c r="F44" s="182"/>
      <c r="G44" s="184"/>
      <c r="H44" s="186"/>
      <c r="I44" s="194"/>
      <c r="J44" s="217"/>
      <c r="K44" s="194">
        <f>IF(NOT(ISERROR(MATCH(J44,_xlfn.ANCHORARRAY(E55),0))),I57&amp;"Por favor no seleccionar los criterios de impacto",J44)</f>
        <v>0</v>
      </c>
      <c r="L44" s="186"/>
      <c r="M44" s="194"/>
      <c r="N44" s="192"/>
      <c r="O44" s="121">
        <v>3</v>
      </c>
      <c r="P44" s="138"/>
      <c r="Q44" s="123" t="str">
        <f>IF(OR(R44="Preventivo",R44="Detectivo"),"Probabilidad",IF(R44="Correctivo","Impacto",""))</f>
        <v/>
      </c>
      <c r="R44" s="124"/>
      <c r="S44" s="124"/>
      <c r="T44" s="125" t="str">
        <f t="shared" si="47"/>
        <v/>
      </c>
      <c r="U44" s="124"/>
      <c r="V44" s="124"/>
      <c r="W44" s="124"/>
      <c r="X44" s="126" t="str">
        <f>IFERROR(IF(AND(Q43="Probabilidad",Q44="Probabilidad"),(Z43-(+Z43*T44)),IF(AND(Q43="Impacto",Q44="Probabilidad"),(Z42-(+Z42*T44)),IF(Q44="Impacto",Z43,""))),"")</f>
        <v/>
      </c>
      <c r="Y44" s="127" t="str">
        <f t="shared" si="1"/>
        <v/>
      </c>
      <c r="Z44" s="128" t="str">
        <f t="shared" si="48"/>
        <v/>
      </c>
      <c r="AA44" s="127" t="str">
        <f t="shared" si="3"/>
        <v/>
      </c>
      <c r="AB44" s="128" t="str">
        <f>IFERROR(IF(AND(Q43="Impacto",Q44="Impacto"),(AB43-(+AB43*T44)),IF(AND(Q43="Probabilidad",Q44="Impacto"),(AB42-(+AB42*T44)),IF(Q44="Probabilidad",AB43,""))),"")</f>
        <v/>
      </c>
      <c r="AC44" s="129" t="str">
        <f t="shared" si="49"/>
        <v/>
      </c>
      <c r="AD44" s="130"/>
      <c r="AE44" s="131"/>
      <c r="AF44" s="132"/>
      <c r="AG44" s="133"/>
      <c r="AH44" s="133"/>
      <c r="AI44" s="131"/>
      <c r="AJ44" s="132"/>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6"/>
      <c r="BJ44" s="136"/>
      <c r="BK44" s="136"/>
      <c r="BL44" s="136"/>
      <c r="BM44" s="136"/>
      <c r="BN44" s="136"/>
      <c r="BO44" s="136"/>
      <c r="BP44" s="136"/>
    </row>
    <row r="45" spans="1:68" s="137" customFormat="1" ht="24" hidden="1" customHeight="1" x14ac:dyDescent="0.3">
      <c r="A45" s="188"/>
      <c r="B45" s="182"/>
      <c r="C45" s="182"/>
      <c r="D45" s="182"/>
      <c r="E45" s="182"/>
      <c r="F45" s="182"/>
      <c r="G45" s="184"/>
      <c r="H45" s="186"/>
      <c r="I45" s="194"/>
      <c r="J45" s="217"/>
      <c r="K45" s="194">
        <f>IF(NOT(ISERROR(MATCH(J45,_xlfn.ANCHORARRAY(E56),0))),I58&amp;"Por favor no seleccionar los criterios de impacto",J45)</f>
        <v>0</v>
      </c>
      <c r="L45" s="186"/>
      <c r="M45" s="194"/>
      <c r="N45" s="192"/>
      <c r="O45" s="121">
        <v>4</v>
      </c>
      <c r="P45" s="122"/>
      <c r="Q45" s="123" t="str">
        <f t="shared" ref="Q45:Q47" si="50">IF(OR(R45="Preventivo",R45="Detectivo"),"Probabilidad",IF(R45="Correctivo","Impacto",""))</f>
        <v/>
      </c>
      <c r="R45" s="124"/>
      <c r="S45" s="124"/>
      <c r="T45" s="125" t="str">
        <f t="shared" si="47"/>
        <v/>
      </c>
      <c r="U45" s="124"/>
      <c r="V45" s="124"/>
      <c r="W45" s="124"/>
      <c r="X45" s="126" t="str">
        <f t="shared" ref="X45:X47" si="51">IFERROR(IF(AND(Q44="Probabilidad",Q45="Probabilidad"),(Z44-(+Z44*T45)),IF(AND(Q44="Impacto",Q45="Probabilidad"),(Z43-(+Z43*T45)),IF(Q45="Impacto",Z44,""))),"")</f>
        <v/>
      </c>
      <c r="Y45" s="127" t="str">
        <f t="shared" si="1"/>
        <v/>
      </c>
      <c r="Z45" s="128" t="str">
        <f t="shared" si="48"/>
        <v/>
      </c>
      <c r="AA45" s="127" t="str">
        <f t="shared" si="3"/>
        <v/>
      </c>
      <c r="AB45" s="128" t="str">
        <f t="shared" ref="AB45:AB47" si="52">IFERROR(IF(AND(Q44="Impacto",Q45="Impacto"),(AB44-(+AB44*T45)),IF(AND(Q44="Probabilidad",Q45="Impacto"),(AB43-(+AB43*T45)),IF(Q45="Probabilidad",AB44,""))),"")</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0"/>
      <c r="AE45" s="131"/>
      <c r="AF45" s="132"/>
      <c r="AG45" s="133"/>
      <c r="AH45" s="133"/>
      <c r="AI45" s="131"/>
      <c r="AJ45" s="132"/>
      <c r="AK45" s="136"/>
      <c r="AL45" s="136"/>
      <c r="AM45" s="136"/>
      <c r="AN45" s="136"/>
      <c r="AO45" s="136"/>
      <c r="AP45" s="136"/>
      <c r="AQ45" s="136"/>
      <c r="AR45" s="136"/>
      <c r="AS45" s="136"/>
      <c r="AT45" s="136"/>
      <c r="AU45" s="136"/>
      <c r="AV45" s="136"/>
      <c r="AW45" s="136"/>
      <c r="AX45" s="136"/>
      <c r="AY45" s="136"/>
      <c r="AZ45" s="136"/>
      <c r="BA45" s="136"/>
      <c r="BB45" s="136"/>
      <c r="BC45" s="136"/>
      <c r="BD45" s="136"/>
      <c r="BE45" s="136"/>
      <c r="BF45" s="136"/>
      <c r="BG45" s="136"/>
      <c r="BH45" s="136"/>
      <c r="BI45" s="136"/>
      <c r="BJ45" s="136"/>
      <c r="BK45" s="136"/>
      <c r="BL45" s="136"/>
      <c r="BM45" s="136"/>
      <c r="BN45" s="136"/>
      <c r="BO45" s="136"/>
      <c r="BP45" s="136"/>
    </row>
    <row r="46" spans="1:68" s="137" customFormat="1" ht="24" hidden="1" customHeight="1" x14ac:dyDescent="0.3">
      <c r="A46" s="188"/>
      <c r="B46" s="182"/>
      <c r="C46" s="182"/>
      <c r="D46" s="182"/>
      <c r="E46" s="182"/>
      <c r="F46" s="182"/>
      <c r="G46" s="184"/>
      <c r="H46" s="186"/>
      <c r="I46" s="194"/>
      <c r="J46" s="217"/>
      <c r="K46" s="194">
        <f>IF(NOT(ISERROR(MATCH(J46,_xlfn.ANCHORARRAY(E57),0))),I59&amp;"Por favor no seleccionar los criterios de impacto",J46)</f>
        <v>0</v>
      </c>
      <c r="L46" s="186"/>
      <c r="M46" s="194"/>
      <c r="N46" s="192"/>
      <c r="O46" s="121">
        <v>5</v>
      </c>
      <c r="P46" s="122"/>
      <c r="Q46" s="123" t="str">
        <f t="shared" si="50"/>
        <v/>
      </c>
      <c r="R46" s="124"/>
      <c r="S46" s="124"/>
      <c r="T46" s="125" t="str">
        <f t="shared" si="47"/>
        <v/>
      </c>
      <c r="U46" s="124"/>
      <c r="V46" s="124"/>
      <c r="W46" s="124"/>
      <c r="X46" s="126" t="str">
        <f t="shared" si="51"/>
        <v/>
      </c>
      <c r="Y46" s="127" t="str">
        <f t="shared" si="1"/>
        <v/>
      </c>
      <c r="Z46" s="128" t="str">
        <f t="shared" si="48"/>
        <v/>
      </c>
      <c r="AA46" s="127" t="str">
        <f t="shared" si="3"/>
        <v/>
      </c>
      <c r="AB46" s="128" t="str">
        <f t="shared" si="52"/>
        <v/>
      </c>
      <c r="AC46" s="129" t="str">
        <f t="shared" ref="AC46:AC47" si="53">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0"/>
      <c r="AE46" s="131"/>
      <c r="AF46" s="132"/>
      <c r="AG46" s="133"/>
      <c r="AH46" s="133"/>
      <c r="AI46" s="131"/>
      <c r="AJ46" s="132"/>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row>
    <row r="47" spans="1:68" s="137" customFormat="1" ht="24" hidden="1" customHeight="1" x14ac:dyDescent="0.3">
      <c r="A47" s="218"/>
      <c r="B47" s="219"/>
      <c r="C47" s="219"/>
      <c r="D47" s="219"/>
      <c r="E47" s="219"/>
      <c r="F47" s="219"/>
      <c r="G47" s="220"/>
      <c r="H47" s="221"/>
      <c r="I47" s="222"/>
      <c r="J47" s="223"/>
      <c r="K47" s="222">
        <f>IF(NOT(ISERROR(MATCH(J47,_xlfn.ANCHORARRAY(E58),0))),I60&amp;"Por favor no seleccionar los criterios de impacto",J47)</f>
        <v>0</v>
      </c>
      <c r="L47" s="221"/>
      <c r="M47" s="222"/>
      <c r="N47" s="224"/>
      <c r="O47" s="121">
        <v>6</v>
      </c>
      <c r="P47" s="122"/>
      <c r="Q47" s="123" t="str">
        <f t="shared" si="50"/>
        <v/>
      </c>
      <c r="R47" s="124"/>
      <c r="S47" s="124"/>
      <c r="T47" s="125" t="str">
        <f t="shared" si="47"/>
        <v/>
      </c>
      <c r="U47" s="124"/>
      <c r="V47" s="124"/>
      <c r="W47" s="124"/>
      <c r="X47" s="126" t="str">
        <f t="shared" si="51"/>
        <v/>
      </c>
      <c r="Y47" s="127" t="str">
        <f t="shared" si="1"/>
        <v/>
      </c>
      <c r="Z47" s="128" t="str">
        <f t="shared" si="48"/>
        <v/>
      </c>
      <c r="AA47" s="127" t="str">
        <f t="shared" si="3"/>
        <v/>
      </c>
      <c r="AB47" s="128" t="str">
        <f t="shared" si="52"/>
        <v/>
      </c>
      <c r="AC47" s="129" t="str">
        <f t="shared" si="53"/>
        <v/>
      </c>
      <c r="AD47" s="130"/>
      <c r="AE47" s="131"/>
      <c r="AF47" s="132"/>
      <c r="AG47" s="133"/>
      <c r="AH47" s="133"/>
      <c r="AI47" s="131"/>
      <c r="AJ47" s="132"/>
      <c r="AK47" s="136"/>
      <c r="AL47" s="136"/>
      <c r="AM47" s="136"/>
      <c r="AN47" s="136"/>
      <c r="AO47" s="136"/>
      <c r="AP47" s="136"/>
      <c r="AQ47" s="136"/>
      <c r="AR47" s="136"/>
      <c r="AS47" s="136"/>
      <c r="AT47" s="136"/>
      <c r="AU47" s="136"/>
      <c r="AV47" s="136"/>
      <c r="AW47" s="136"/>
      <c r="AX47" s="136"/>
      <c r="AY47" s="136"/>
      <c r="AZ47" s="136"/>
      <c r="BA47" s="136"/>
      <c r="BB47" s="136"/>
      <c r="BC47" s="136"/>
      <c r="BD47" s="136"/>
      <c r="BE47" s="136"/>
      <c r="BF47" s="136"/>
      <c r="BG47" s="136"/>
      <c r="BH47" s="136"/>
      <c r="BI47" s="136"/>
      <c r="BJ47" s="136"/>
      <c r="BK47" s="136"/>
      <c r="BL47" s="136"/>
      <c r="BM47" s="136"/>
      <c r="BN47" s="136"/>
      <c r="BO47" s="136"/>
      <c r="BP47" s="136"/>
    </row>
    <row r="48" spans="1:68" s="137" customFormat="1" ht="24" hidden="1" customHeight="1" x14ac:dyDescent="0.3">
      <c r="A48" s="187">
        <v>9</v>
      </c>
      <c r="B48" s="181"/>
      <c r="C48" s="181"/>
      <c r="D48" s="181"/>
      <c r="E48" s="181"/>
      <c r="F48" s="181"/>
      <c r="G48" s="183"/>
      <c r="H48" s="185" t="str">
        <f>IF(G48&lt;=0,"",IF(G48&lt;=2,"Muy Baja",IF(G48&lt;=24,"Baja",IF(G48&lt;=500,"Media",IF(G48&lt;=5000,"Alta","Muy Alta")))))</f>
        <v/>
      </c>
      <c r="I48" s="193" t="str">
        <f>IF(H48="","",IF(H48="Muy Baja",0.2,IF(H48="Baja",0.4,IF(H48="Media",0.6,IF(H48="Alta",0.8,IF(H48="Muy Alta",1,))))))</f>
        <v/>
      </c>
      <c r="J48" s="216"/>
      <c r="K48" s="193">
        <f>IF(NOT(ISERROR(MATCH(J48,'Tabla Impacto'!$B$221:$B$223,0))),'Tabla Impacto'!$F$223&amp;"Por favor no seleccionar los criterios de impacto(Afectación Económica o presupuestal y Pérdida Reputacional)",J48)</f>
        <v>0</v>
      </c>
      <c r="L48" s="185" t="str">
        <f>IF(OR(K48='Tabla Impacto'!$C$11,K48='Tabla Impacto'!$D$11),"Leve",IF(OR(K48='Tabla Impacto'!$C$12,K48='Tabla Impacto'!$D$12),"Menor",IF(OR(K48='Tabla Impacto'!$C$13,K48='Tabla Impacto'!$D$13),"Moderado",IF(OR(K48='Tabla Impacto'!$C$14,K48='Tabla Impacto'!$D$14),"Mayor",IF(OR(K48='Tabla Impacto'!$C$15,K48='Tabla Impacto'!$D$15),"Catastrófico","")))))</f>
        <v/>
      </c>
      <c r="M48" s="193" t="str">
        <f>IF(L48="","",IF(L48="Leve",0.2,IF(L48="Menor",0.4,IF(L48="Moderado",0.6,IF(L48="Mayor",0.8,IF(L48="Catastrófico",1,))))))</f>
        <v/>
      </c>
      <c r="N48" s="19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21">
        <v>1</v>
      </c>
      <c r="P48" s="122"/>
      <c r="Q48" s="123" t="str">
        <f>IF(OR(R48="Preventivo",R48="Detectivo"),"Probabilidad",IF(R48="Correctivo","Impacto",""))</f>
        <v/>
      </c>
      <c r="R48" s="124"/>
      <c r="S48" s="124"/>
      <c r="T48" s="125" t="str">
        <f>IF(AND(R48="Preventivo",S48="Automático"),"50%",IF(AND(R48="Preventivo",S48="Manual"),"40%",IF(AND(R48="Detectivo",S48="Automático"),"40%",IF(AND(R48="Detectivo",S48="Manual"),"30%",IF(AND(R48="Correctivo",S48="Automático"),"35%",IF(AND(R48="Correctivo",S48="Manual"),"25%",""))))))</f>
        <v/>
      </c>
      <c r="U48" s="124"/>
      <c r="V48" s="124"/>
      <c r="W48" s="124"/>
      <c r="X48" s="126" t="str">
        <f>IFERROR(IF(Q48="Probabilidad",(I48-(+I48*T48)),IF(Q48="Impacto",I48,"")),"")</f>
        <v/>
      </c>
      <c r="Y48" s="127" t="str">
        <f>IFERROR(IF(X48="","",IF(X48&lt;=0.2,"Muy Baja",IF(X48&lt;=0.4,"Baja",IF(X48&lt;=0.6,"Media",IF(X48&lt;=0.8,"Alta","Muy Alta"))))),"")</f>
        <v/>
      </c>
      <c r="Z48" s="128" t="str">
        <f>+X48</f>
        <v/>
      </c>
      <c r="AA48" s="127" t="str">
        <f>IFERROR(IF(AB48="","",IF(AB48&lt;=0.2,"Leve",IF(AB48&lt;=0.4,"Menor",IF(AB48&lt;=0.6,"Moderado",IF(AB48&lt;=0.8,"Mayor","Catastrófico"))))),"")</f>
        <v/>
      </c>
      <c r="AB48" s="128" t="str">
        <f>IFERROR(IF(Q48="Impacto",(M48-(+M48*T48)),IF(Q48="Probabilidad",M48,"")),"")</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0"/>
      <c r="AE48" s="131"/>
      <c r="AF48" s="132"/>
      <c r="AG48" s="133"/>
      <c r="AH48" s="133"/>
      <c r="AI48" s="131"/>
      <c r="AJ48" s="132"/>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row>
    <row r="49" spans="1:68" s="137" customFormat="1" ht="24" hidden="1" customHeight="1" x14ac:dyDescent="0.3">
      <c r="A49" s="188"/>
      <c r="B49" s="182"/>
      <c r="C49" s="182"/>
      <c r="D49" s="182"/>
      <c r="E49" s="182"/>
      <c r="F49" s="182"/>
      <c r="G49" s="184"/>
      <c r="H49" s="186"/>
      <c r="I49" s="194"/>
      <c r="J49" s="217"/>
      <c r="K49" s="194">
        <f>IF(NOT(ISERROR(MATCH(J49,_xlfn.ANCHORARRAY(E60),0))),I62&amp;"Por favor no seleccionar los criterios de impacto",J49)</f>
        <v>0</v>
      </c>
      <c r="L49" s="186"/>
      <c r="M49" s="194"/>
      <c r="N49" s="192"/>
      <c r="O49" s="121">
        <v>2</v>
      </c>
      <c r="P49" s="122"/>
      <c r="Q49" s="123" t="str">
        <f>IF(OR(R49="Preventivo",R49="Detectivo"),"Probabilidad",IF(R49="Correctivo","Impacto",""))</f>
        <v/>
      </c>
      <c r="R49" s="124"/>
      <c r="S49" s="124"/>
      <c r="T49" s="125" t="str">
        <f t="shared" ref="T49:T53" si="54">IF(AND(R49="Preventivo",S49="Automático"),"50%",IF(AND(R49="Preventivo",S49="Manual"),"40%",IF(AND(R49="Detectivo",S49="Automático"),"40%",IF(AND(R49="Detectivo",S49="Manual"),"30%",IF(AND(R49="Correctivo",S49="Automático"),"35%",IF(AND(R49="Correctivo",S49="Manual"),"25%",""))))))</f>
        <v/>
      </c>
      <c r="U49" s="124"/>
      <c r="V49" s="124"/>
      <c r="W49" s="124"/>
      <c r="X49" s="126" t="str">
        <f>IFERROR(IF(AND(Q48="Probabilidad",Q49="Probabilidad"),(Z48-(+Z48*T49)),IF(Q49="Probabilidad",(I48-(+I48*T49)),IF(Q49="Impacto",Z48,""))),"")</f>
        <v/>
      </c>
      <c r="Y49" s="127" t="str">
        <f t="shared" si="1"/>
        <v/>
      </c>
      <c r="Z49" s="128" t="str">
        <f t="shared" ref="Z49:Z53" si="55">+X49</f>
        <v/>
      </c>
      <c r="AA49" s="127" t="str">
        <f t="shared" si="3"/>
        <v/>
      </c>
      <c r="AB49" s="128" t="str">
        <f>IFERROR(IF(AND(Q48="Impacto",Q49="Impacto"),(AB48-(+AB48*T49)),IF(Q49="Impacto",(M48-(+M48*T49)),IF(Q49="Probabilidad",AB48,""))),"")</f>
        <v/>
      </c>
      <c r="AC49" s="129" t="str">
        <f t="shared" ref="AC49:AC50" si="5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0"/>
      <c r="AE49" s="131"/>
      <c r="AF49" s="132"/>
      <c r="AG49" s="133"/>
      <c r="AH49" s="133"/>
      <c r="AI49" s="131"/>
      <c r="AJ49" s="132"/>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row>
    <row r="50" spans="1:68" s="137" customFormat="1" ht="24" hidden="1" customHeight="1" x14ac:dyDescent="0.3">
      <c r="A50" s="188"/>
      <c r="B50" s="182"/>
      <c r="C50" s="182"/>
      <c r="D50" s="182"/>
      <c r="E50" s="182"/>
      <c r="F50" s="182"/>
      <c r="G50" s="184"/>
      <c r="H50" s="186"/>
      <c r="I50" s="194"/>
      <c r="J50" s="217"/>
      <c r="K50" s="194">
        <f>IF(NOT(ISERROR(MATCH(J50,_xlfn.ANCHORARRAY(E61),0))),I63&amp;"Por favor no seleccionar los criterios de impacto",J50)</f>
        <v>0</v>
      </c>
      <c r="L50" s="186"/>
      <c r="M50" s="194"/>
      <c r="N50" s="192"/>
      <c r="O50" s="121">
        <v>3</v>
      </c>
      <c r="P50" s="138"/>
      <c r="Q50" s="123" t="str">
        <f>IF(OR(R50="Preventivo",R50="Detectivo"),"Probabilidad",IF(R50="Correctivo","Impacto",""))</f>
        <v/>
      </c>
      <c r="R50" s="124"/>
      <c r="S50" s="124"/>
      <c r="T50" s="125" t="str">
        <f t="shared" si="54"/>
        <v/>
      </c>
      <c r="U50" s="124"/>
      <c r="V50" s="124"/>
      <c r="W50" s="124"/>
      <c r="X50" s="126" t="str">
        <f>IFERROR(IF(AND(Q49="Probabilidad",Q50="Probabilidad"),(Z49-(+Z49*T50)),IF(AND(Q49="Impacto",Q50="Probabilidad"),(Z48-(+Z48*T50)),IF(Q50="Impacto",Z49,""))),"")</f>
        <v/>
      </c>
      <c r="Y50" s="127" t="str">
        <f t="shared" si="1"/>
        <v/>
      </c>
      <c r="Z50" s="128" t="str">
        <f t="shared" si="55"/>
        <v/>
      </c>
      <c r="AA50" s="127" t="str">
        <f t="shared" si="3"/>
        <v/>
      </c>
      <c r="AB50" s="128" t="str">
        <f>IFERROR(IF(AND(Q49="Impacto",Q50="Impacto"),(AB49-(+AB49*T50)),IF(AND(Q49="Probabilidad",Q50="Impacto"),(AB48-(+AB48*T50)),IF(Q50="Probabilidad",AB49,""))),"")</f>
        <v/>
      </c>
      <c r="AC50" s="129" t="str">
        <f t="shared" si="56"/>
        <v/>
      </c>
      <c r="AD50" s="130"/>
      <c r="AE50" s="131"/>
      <c r="AF50" s="132"/>
      <c r="AG50" s="133"/>
      <c r="AH50" s="133"/>
      <c r="AI50" s="131"/>
      <c r="AJ50" s="132"/>
      <c r="AK50" s="136"/>
      <c r="AL50" s="136"/>
      <c r="AM50" s="136"/>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row>
    <row r="51" spans="1:68" s="137" customFormat="1" ht="24" hidden="1" customHeight="1" x14ac:dyDescent="0.3">
      <c r="A51" s="188"/>
      <c r="B51" s="182"/>
      <c r="C51" s="182"/>
      <c r="D51" s="182"/>
      <c r="E51" s="182"/>
      <c r="F51" s="182"/>
      <c r="G51" s="184"/>
      <c r="H51" s="186"/>
      <c r="I51" s="194"/>
      <c r="J51" s="217"/>
      <c r="K51" s="194">
        <f>IF(NOT(ISERROR(MATCH(J51,_xlfn.ANCHORARRAY(E62),0))),I64&amp;"Por favor no seleccionar los criterios de impacto",J51)</f>
        <v>0</v>
      </c>
      <c r="L51" s="186"/>
      <c r="M51" s="194"/>
      <c r="N51" s="192"/>
      <c r="O51" s="121">
        <v>4</v>
      </c>
      <c r="P51" s="122"/>
      <c r="Q51" s="123" t="str">
        <f t="shared" ref="Q51:Q53" si="57">IF(OR(R51="Preventivo",R51="Detectivo"),"Probabilidad",IF(R51="Correctivo","Impacto",""))</f>
        <v/>
      </c>
      <c r="R51" s="124"/>
      <c r="S51" s="124"/>
      <c r="T51" s="125" t="str">
        <f t="shared" si="54"/>
        <v/>
      </c>
      <c r="U51" s="124"/>
      <c r="V51" s="124"/>
      <c r="W51" s="124"/>
      <c r="X51" s="126" t="str">
        <f t="shared" ref="X51:X53" si="58">IFERROR(IF(AND(Q50="Probabilidad",Q51="Probabilidad"),(Z50-(+Z50*T51)),IF(AND(Q50="Impacto",Q51="Probabilidad"),(Z49-(+Z49*T51)),IF(Q51="Impacto",Z50,""))),"")</f>
        <v/>
      </c>
      <c r="Y51" s="127" t="str">
        <f t="shared" si="1"/>
        <v/>
      </c>
      <c r="Z51" s="128" t="str">
        <f t="shared" si="55"/>
        <v/>
      </c>
      <c r="AA51" s="127" t="str">
        <f t="shared" si="3"/>
        <v/>
      </c>
      <c r="AB51" s="128" t="str">
        <f t="shared" ref="AB51:AB53" si="59">IFERROR(IF(AND(Q50="Impacto",Q51="Impacto"),(AB50-(+AB50*T51)),IF(AND(Q50="Probabilidad",Q51="Impacto"),(AB49-(+AB49*T51)),IF(Q51="Probabilidad",AB50,""))),"")</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0"/>
      <c r="AE51" s="131"/>
      <c r="AF51" s="132"/>
      <c r="AG51" s="133"/>
      <c r="AH51" s="133"/>
      <c r="AI51" s="131"/>
      <c r="AJ51" s="132"/>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row>
    <row r="52" spans="1:68" s="137" customFormat="1" ht="24" hidden="1" customHeight="1" x14ac:dyDescent="0.3">
      <c r="A52" s="188"/>
      <c r="B52" s="182"/>
      <c r="C52" s="182"/>
      <c r="D52" s="182"/>
      <c r="E52" s="182"/>
      <c r="F52" s="182"/>
      <c r="G52" s="184"/>
      <c r="H52" s="186"/>
      <c r="I52" s="194"/>
      <c r="J52" s="217"/>
      <c r="K52" s="194">
        <f>IF(NOT(ISERROR(MATCH(J52,_xlfn.ANCHORARRAY(E63),0))),I65&amp;"Por favor no seleccionar los criterios de impacto",J52)</f>
        <v>0</v>
      </c>
      <c r="L52" s="186"/>
      <c r="M52" s="194"/>
      <c r="N52" s="192"/>
      <c r="O52" s="121">
        <v>5</v>
      </c>
      <c r="P52" s="122"/>
      <c r="Q52" s="123" t="str">
        <f t="shared" si="57"/>
        <v/>
      </c>
      <c r="R52" s="124"/>
      <c r="S52" s="124"/>
      <c r="T52" s="125" t="str">
        <f t="shared" si="54"/>
        <v/>
      </c>
      <c r="U52" s="124"/>
      <c r="V52" s="124"/>
      <c r="W52" s="124"/>
      <c r="X52" s="126" t="str">
        <f t="shared" si="58"/>
        <v/>
      </c>
      <c r="Y52" s="127" t="str">
        <f t="shared" si="1"/>
        <v/>
      </c>
      <c r="Z52" s="128" t="str">
        <f t="shared" si="55"/>
        <v/>
      </c>
      <c r="AA52" s="127" t="str">
        <f t="shared" si="3"/>
        <v/>
      </c>
      <c r="AB52" s="128" t="str">
        <f t="shared" si="59"/>
        <v/>
      </c>
      <c r="AC52" s="129" t="str">
        <f t="shared" ref="AC52:AC53" si="6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0"/>
      <c r="AE52" s="131"/>
      <c r="AF52" s="132"/>
      <c r="AG52" s="133"/>
      <c r="AH52" s="133"/>
      <c r="AI52" s="131"/>
      <c r="AJ52" s="132"/>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row>
    <row r="53" spans="1:68" s="137" customFormat="1" ht="24" hidden="1" customHeight="1" x14ac:dyDescent="0.3">
      <c r="A53" s="218"/>
      <c r="B53" s="219"/>
      <c r="C53" s="219"/>
      <c r="D53" s="219"/>
      <c r="E53" s="219"/>
      <c r="F53" s="219"/>
      <c r="G53" s="220"/>
      <c r="H53" s="221"/>
      <c r="I53" s="222"/>
      <c r="J53" s="223"/>
      <c r="K53" s="222">
        <f>IF(NOT(ISERROR(MATCH(J53,_xlfn.ANCHORARRAY(E64),0))),I66&amp;"Por favor no seleccionar los criterios de impacto",J53)</f>
        <v>0</v>
      </c>
      <c r="L53" s="221"/>
      <c r="M53" s="222"/>
      <c r="N53" s="224"/>
      <c r="O53" s="121">
        <v>6</v>
      </c>
      <c r="P53" s="122"/>
      <c r="Q53" s="123" t="str">
        <f t="shared" si="57"/>
        <v/>
      </c>
      <c r="R53" s="124"/>
      <c r="S53" s="124"/>
      <c r="T53" s="125" t="str">
        <f t="shared" si="54"/>
        <v/>
      </c>
      <c r="U53" s="124"/>
      <c r="V53" s="124"/>
      <c r="W53" s="124"/>
      <c r="X53" s="126" t="str">
        <f t="shared" si="58"/>
        <v/>
      </c>
      <c r="Y53" s="127" t="str">
        <f t="shared" si="1"/>
        <v/>
      </c>
      <c r="Z53" s="128" t="str">
        <f t="shared" si="55"/>
        <v/>
      </c>
      <c r="AA53" s="127" t="str">
        <f t="shared" si="3"/>
        <v/>
      </c>
      <c r="AB53" s="128" t="str">
        <f t="shared" si="59"/>
        <v/>
      </c>
      <c r="AC53" s="129" t="str">
        <f t="shared" si="60"/>
        <v/>
      </c>
      <c r="AD53" s="130"/>
      <c r="AE53" s="131"/>
      <c r="AF53" s="132"/>
      <c r="AG53" s="133"/>
      <c r="AH53" s="133"/>
      <c r="AI53" s="131"/>
      <c r="AJ53" s="132"/>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row>
    <row r="54" spans="1:68" s="137" customFormat="1" ht="24" hidden="1" customHeight="1" x14ac:dyDescent="0.3">
      <c r="A54" s="187">
        <v>10</v>
      </c>
      <c r="B54" s="181"/>
      <c r="C54" s="181"/>
      <c r="D54" s="181"/>
      <c r="E54" s="181"/>
      <c r="F54" s="181"/>
      <c r="G54" s="183"/>
      <c r="H54" s="185" t="str">
        <f>IF(G54&lt;=0,"",IF(G54&lt;=2,"Muy Baja",IF(G54&lt;=24,"Baja",IF(G54&lt;=500,"Media",IF(G54&lt;=5000,"Alta","Muy Alta")))))</f>
        <v/>
      </c>
      <c r="I54" s="193" t="str">
        <f>IF(H54="","",IF(H54="Muy Baja",0.2,IF(H54="Baja",0.4,IF(H54="Media",0.6,IF(H54="Alta",0.8,IF(H54="Muy Alta",1,))))))</f>
        <v/>
      </c>
      <c r="J54" s="216"/>
      <c r="K54" s="193">
        <f>IF(NOT(ISERROR(MATCH(J54,'Tabla Impacto'!$B$221:$B$223,0))),'Tabla Impacto'!$F$223&amp;"Por favor no seleccionar los criterios de impacto(Afectación Económica o presupuestal y Pérdida Reputacional)",J54)</f>
        <v>0</v>
      </c>
      <c r="L54" s="185" t="str">
        <f>IF(OR(K54='Tabla Impacto'!$C$11,K54='Tabla Impacto'!$D$11),"Leve",IF(OR(K54='Tabla Impacto'!$C$12,K54='Tabla Impacto'!$D$12),"Menor",IF(OR(K54='Tabla Impacto'!$C$13,K54='Tabla Impacto'!$D$13),"Moderado",IF(OR(K54='Tabla Impacto'!$C$14,K54='Tabla Impacto'!$D$14),"Mayor",IF(OR(K54='Tabla Impacto'!$C$15,K54='Tabla Impacto'!$D$15),"Catastrófico","")))))</f>
        <v/>
      </c>
      <c r="M54" s="193" t="str">
        <f>IF(L54="","",IF(L54="Leve",0.2,IF(L54="Menor",0.4,IF(L54="Moderado",0.6,IF(L54="Mayor",0.8,IF(L54="Catastrófico",1,))))))</f>
        <v/>
      </c>
      <c r="N54" s="19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21">
        <v>1</v>
      </c>
      <c r="P54" s="122"/>
      <c r="Q54" s="123" t="str">
        <f>IF(OR(R54="Preventivo",R54="Detectivo"),"Probabilidad",IF(R54="Correctivo","Impacto",""))</f>
        <v/>
      </c>
      <c r="R54" s="124"/>
      <c r="S54" s="124"/>
      <c r="T54" s="125" t="str">
        <f>IF(AND(R54="Preventivo",S54="Automático"),"50%",IF(AND(R54="Preventivo",S54="Manual"),"40%",IF(AND(R54="Detectivo",S54="Automático"),"40%",IF(AND(R54="Detectivo",S54="Manual"),"30%",IF(AND(R54="Correctivo",S54="Automático"),"35%",IF(AND(R54="Correctivo",S54="Manual"),"25%",""))))))</f>
        <v/>
      </c>
      <c r="U54" s="124"/>
      <c r="V54" s="124"/>
      <c r="W54" s="124"/>
      <c r="X54" s="126" t="str">
        <f>IFERROR(IF(Q54="Probabilidad",(I54-(+I54*T54)),IF(Q54="Impacto",I54,"")),"")</f>
        <v/>
      </c>
      <c r="Y54" s="127" t="str">
        <f>IFERROR(IF(X54="","",IF(X54&lt;=0.2,"Muy Baja",IF(X54&lt;=0.4,"Baja",IF(X54&lt;=0.6,"Media",IF(X54&lt;=0.8,"Alta","Muy Alta"))))),"")</f>
        <v/>
      </c>
      <c r="Z54" s="128" t="str">
        <f>+X54</f>
        <v/>
      </c>
      <c r="AA54" s="127" t="str">
        <f>IFERROR(IF(AB54="","",IF(AB54&lt;=0.2,"Leve",IF(AB54&lt;=0.4,"Menor",IF(AB54&lt;=0.6,"Moderado",IF(AB54&lt;=0.8,"Mayor","Catastrófico"))))),"")</f>
        <v/>
      </c>
      <c r="AB54" s="128" t="str">
        <f>IFERROR(IF(Q54="Impacto",(M54-(+M54*T54)),IF(Q54="Probabilidad",M54,"")),"")</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0"/>
      <c r="AE54" s="131"/>
      <c r="AF54" s="132"/>
      <c r="AG54" s="133"/>
      <c r="AH54" s="133"/>
      <c r="AI54" s="131"/>
      <c r="AJ54" s="132"/>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row>
    <row r="55" spans="1:68" s="137" customFormat="1" ht="24" hidden="1" customHeight="1" x14ac:dyDescent="0.3">
      <c r="A55" s="188"/>
      <c r="B55" s="182"/>
      <c r="C55" s="182"/>
      <c r="D55" s="182"/>
      <c r="E55" s="182"/>
      <c r="F55" s="182"/>
      <c r="G55" s="184"/>
      <c r="H55" s="186"/>
      <c r="I55" s="194"/>
      <c r="J55" s="217"/>
      <c r="K55" s="194">
        <f>IF(NOT(ISERROR(MATCH(J55,_xlfn.ANCHORARRAY(E66),0))),I68&amp;"Por favor no seleccionar los criterios de impacto",J55)</f>
        <v>0</v>
      </c>
      <c r="L55" s="186"/>
      <c r="M55" s="194"/>
      <c r="N55" s="192"/>
      <c r="O55" s="121">
        <v>2</v>
      </c>
      <c r="P55" s="122"/>
      <c r="Q55" s="123" t="str">
        <f>IF(OR(R55="Preventivo",R55="Detectivo"),"Probabilidad",IF(R55="Correctivo","Impacto",""))</f>
        <v/>
      </c>
      <c r="R55" s="124"/>
      <c r="S55" s="124"/>
      <c r="T55" s="125" t="str">
        <f t="shared" ref="T55:T59" si="61">IF(AND(R55="Preventivo",S55="Automático"),"50%",IF(AND(R55="Preventivo",S55="Manual"),"40%",IF(AND(R55="Detectivo",S55="Automático"),"40%",IF(AND(R55="Detectivo",S55="Manual"),"30%",IF(AND(R55="Correctivo",S55="Automático"),"35%",IF(AND(R55="Correctivo",S55="Manual"),"25%",""))))))</f>
        <v/>
      </c>
      <c r="U55" s="124"/>
      <c r="V55" s="124"/>
      <c r="W55" s="124"/>
      <c r="X55" s="126" t="str">
        <f>IFERROR(IF(AND(Q54="Probabilidad",Q55="Probabilidad"),(Z54-(+Z54*T55)),IF(Q55="Probabilidad",(I54-(+I54*T55)),IF(Q55="Impacto",Z54,""))),"")</f>
        <v/>
      </c>
      <c r="Y55" s="127" t="str">
        <f t="shared" si="1"/>
        <v/>
      </c>
      <c r="Z55" s="128" t="str">
        <f t="shared" ref="Z55:Z59" si="62">+X55</f>
        <v/>
      </c>
      <c r="AA55" s="127" t="str">
        <f t="shared" si="3"/>
        <v/>
      </c>
      <c r="AB55" s="128" t="str">
        <f>IFERROR(IF(AND(Q54="Impacto",Q55="Impacto"),(AB54-(+AB54*T55)),IF(Q55="Impacto",(M54-(+M54*T55)),IF(Q55="Probabilidad",AB54,""))),"")</f>
        <v/>
      </c>
      <c r="AC55" s="129" t="str">
        <f t="shared" ref="AC55:AC56" si="6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0"/>
      <c r="AE55" s="131"/>
      <c r="AF55" s="132"/>
      <c r="AG55" s="133"/>
      <c r="AH55" s="133"/>
      <c r="AI55" s="131"/>
      <c r="AJ55" s="132"/>
    </row>
    <row r="56" spans="1:68" s="137" customFormat="1" ht="24" hidden="1" customHeight="1" x14ac:dyDescent="0.3">
      <c r="A56" s="188"/>
      <c r="B56" s="182"/>
      <c r="C56" s="182"/>
      <c r="D56" s="182"/>
      <c r="E56" s="182"/>
      <c r="F56" s="182"/>
      <c r="G56" s="184"/>
      <c r="H56" s="186"/>
      <c r="I56" s="194"/>
      <c r="J56" s="217"/>
      <c r="K56" s="194">
        <f>IF(NOT(ISERROR(MATCH(J56,_xlfn.ANCHORARRAY(E67),0))),I69&amp;"Por favor no seleccionar los criterios de impacto",J56)</f>
        <v>0</v>
      </c>
      <c r="L56" s="186"/>
      <c r="M56" s="194"/>
      <c r="N56" s="192"/>
      <c r="O56" s="121">
        <v>3</v>
      </c>
      <c r="P56" s="138"/>
      <c r="Q56" s="123" t="str">
        <f>IF(OR(R56="Preventivo",R56="Detectivo"),"Probabilidad",IF(R56="Correctivo","Impacto",""))</f>
        <v/>
      </c>
      <c r="R56" s="124"/>
      <c r="S56" s="124"/>
      <c r="T56" s="125" t="str">
        <f t="shared" si="61"/>
        <v/>
      </c>
      <c r="U56" s="124"/>
      <c r="V56" s="124"/>
      <c r="W56" s="124"/>
      <c r="X56" s="126" t="str">
        <f>IFERROR(IF(AND(Q55="Probabilidad",Q56="Probabilidad"),(Z55-(+Z55*T56)),IF(AND(Q55="Impacto",Q56="Probabilidad"),(Z54-(+Z54*T56)),IF(Q56="Impacto",Z55,""))),"")</f>
        <v/>
      </c>
      <c r="Y56" s="127" t="str">
        <f t="shared" si="1"/>
        <v/>
      </c>
      <c r="Z56" s="128" t="str">
        <f t="shared" si="62"/>
        <v/>
      </c>
      <c r="AA56" s="127" t="str">
        <f t="shared" si="3"/>
        <v/>
      </c>
      <c r="AB56" s="128" t="str">
        <f>IFERROR(IF(AND(Q55="Impacto",Q56="Impacto"),(AB55-(+AB55*T56)),IF(AND(Q55="Probabilidad",Q56="Impacto"),(AB54-(+AB54*T56)),IF(Q56="Probabilidad",AB55,""))),"")</f>
        <v/>
      </c>
      <c r="AC56" s="129" t="str">
        <f t="shared" si="63"/>
        <v/>
      </c>
      <c r="AD56" s="130"/>
      <c r="AE56" s="131"/>
      <c r="AF56" s="132"/>
      <c r="AG56" s="133"/>
      <c r="AH56" s="133"/>
      <c r="AI56" s="131"/>
      <c r="AJ56" s="132"/>
    </row>
    <row r="57" spans="1:68" s="137" customFormat="1" ht="24" hidden="1" customHeight="1" x14ac:dyDescent="0.3">
      <c r="A57" s="188"/>
      <c r="B57" s="182"/>
      <c r="C57" s="182"/>
      <c r="D57" s="182"/>
      <c r="E57" s="182"/>
      <c r="F57" s="182"/>
      <c r="G57" s="184"/>
      <c r="H57" s="186"/>
      <c r="I57" s="194"/>
      <c r="J57" s="217"/>
      <c r="K57" s="194">
        <f>IF(NOT(ISERROR(MATCH(J57,_xlfn.ANCHORARRAY(E68),0))),I70&amp;"Por favor no seleccionar los criterios de impacto",J57)</f>
        <v>0</v>
      </c>
      <c r="L57" s="186"/>
      <c r="M57" s="194"/>
      <c r="N57" s="192"/>
      <c r="O57" s="121">
        <v>4</v>
      </c>
      <c r="P57" s="122"/>
      <c r="Q57" s="123" t="str">
        <f t="shared" ref="Q57:Q59" si="64">IF(OR(R57="Preventivo",R57="Detectivo"),"Probabilidad",IF(R57="Correctivo","Impacto",""))</f>
        <v/>
      </c>
      <c r="R57" s="124"/>
      <c r="S57" s="124"/>
      <c r="T57" s="125" t="str">
        <f t="shared" si="61"/>
        <v/>
      </c>
      <c r="U57" s="124"/>
      <c r="V57" s="124"/>
      <c r="W57" s="124"/>
      <c r="X57" s="126" t="str">
        <f t="shared" ref="X57:X59" si="65">IFERROR(IF(AND(Q56="Probabilidad",Q57="Probabilidad"),(Z56-(+Z56*T57)),IF(AND(Q56="Impacto",Q57="Probabilidad"),(Z55-(+Z55*T57)),IF(Q57="Impacto",Z56,""))),"")</f>
        <v/>
      </c>
      <c r="Y57" s="127" t="str">
        <f t="shared" si="1"/>
        <v/>
      </c>
      <c r="Z57" s="128" t="str">
        <f t="shared" si="62"/>
        <v/>
      </c>
      <c r="AA57" s="127" t="str">
        <f t="shared" si="3"/>
        <v/>
      </c>
      <c r="AB57" s="128" t="str">
        <f t="shared" ref="AB57:AB59" si="66">IFERROR(IF(AND(Q56="Impacto",Q57="Impacto"),(AB56-(+AB56*T57)),IF(AND(Q56="Probabilidad",Q57="Impacto"),(AB55-(+AB55*T57)),IF(Q57="Probabilidad",AB56,""))),"")</f>
        <v/>
      </c>
      <c r="AC57" s="12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0"/>
      <c r="AE57" s="131"/>
      <c r="AF57" s="132"/>
      <c r="AG57" s="133"/>
      <c r="AH57" s="133"/>
      <c r="AI57" s="131"/>
      <c r="AJ57" s="132"/>
    </row>
    <row r="58" spans="1:68" s="137" customFormat="1" ht="24" hidden="1" customHeight="1" x14ac:dyDescent="0.3">
      <c r="A58" s="188"/>
      <c r="B58" s="182"/>
      <c r="C58" s="182"/>
      <c r="D58" s="182"/>
      <c r="E58" s="182"/>
      <c r="F58" s="182"/>
      <c r="G58" s="184"/>
      <c r="H58" s="186"/>
      <c r="I58" s="194"/>
      <c r="J58" s="217"/>
      <c r="K58" s="194">
        <f>IF(NOT(ISERROR(MATCH(J58,_xlfn.ANCHORARRAY(E69),0))),I71&amp;"Por favor no seleccionar los criterios de impacto",J58)</f>
        <v>0</v>
      </c>
      <c r="L58" s="186"/>
      <c r="M58" s="194"/>
      <c r="N58" s="192"/>
      <c r="O58" s="121">
        <v>5</v>
      </c>
      <c r="P58" s="122"/>
      <c r="Q58" s="123" t="str">
        <f t="shared" si="64"/>
        <v/>
      </c>
      <c r="R58" s="124"/>
      <c r="S58" s="124"/>
      <c r="T58" s="125" t="str">
        <f t="shared" si="61"/>
        <v/>
      </c>
      <c r="U58" s="124"/>
      <c r="V58" s="124"/>
      <c r="W58" s="124"/>
      <c r="X58" s="126" t="str">
        <f t="shared" si="65"/>
        <v/>
      </c>
      <c r="Y58" s="127" t="str">
        <f t="shared" si="1"/>
        <v/>
      </c>
      <c r="Z58" s="128" t="str">
        <f t="shared" si="62"/>
        <v/>
      </c>
      <c r="AA58" s="127" t="str">
        <f t="shared" si="3"/>
        <v/>
      </c>
      <c r="AB58" s="128" t="str">
        <f t="shared" si="66"/>
        <v/>
      </c>
      <c r="AC58" s="129" t="str">
        <f t="shared" ref="AC58:AC59" si="6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0"/>
      <c r="AE58" s="131"/>
      <c r="AF58" s="132"/>
      <c r="AG58" s="133"/>
      <c r="AH58" s="133"/>
      <c r="AI58" s="131"/>
      <c r="AJ58" s="132"/>
    </row>
    <row r="59" spans="1:68" s="137" customFormat="1" ht="24" hidden="1" customHeight="1" x14ac:dyDescent="0.3">
      <c r="A59" s="218"/>
      <c r="B59" s="219"/>
      <c r="C59" s="219"/>
      <c r="D59" s="219"/>
      <c r="E59" s="219"/>
      <c r="F59" s="219"/>
      <c r="G59" s="220"/>
      <c r="H59" s="221"/>
      <c r="I59" s="222"/>
      <c r="J59" s="223"/>
      <c r="K59" s="222">
        <f>IF(NOT(ISERROR(MATCH(J59,_xlfn.ANCHORARRAY(E70),0))),I72&amp;"Por favor no seleccionar los criterios de impacto",J59)</f>
        <v>0</v>
      </c>
      <c r="L59" s="221"/>
      <c r="M59" s="222"/>
      <c r="N59" s="224"/>
      <c r="O59" s="121">
        <v>6</v>
      </c>
      <c r="P59" s="122"/>
      <c r="Q59" s="123" t="str">
        <f t="shared" si="64"/>
        <v/>
      </c>
      <c r="R59" s="124"/>
      <c r="S59" s="124"/>
      <c r="T59" s="125" t="str">
        <f t="shared" si="61"/>
        <v/>
      </c>
      <c r="U59" s="124"/>
      <c r="V59" s="124"/>
      <c r="W59" s="124"/>
      <c r="X59" s="126" t="str">
        <f t="shared" si="65"/>
        <v/>
      </c>
      <c r="Y59" s="127" t="str">
        <f t="shared" si="1"/>
        <v/>
      </c>
      <c r="Z59" s="128" t="str">
        <f t="shared" si="62"/>
        <v/>
      </c>
      <c r="AA59" s="127" t="str">
        <f t="shared" si="3"/>
        <v/>
      </c>
      <c r="AB59" s="128" t="str">
        <f t="shared" si="66"/>
        <v/>
      </c>
      <c r="AC59" s="129" t="str">
        <f t="shared" si="67"/>
        <v/>
      </c>
      <c r="AD59" s="130"/>
      <c r="AE59" s="131"/>
      <c r="AF59" s="132"/>
      <c r="AG59" s="133"/>
      <c r="AH59" s="133"/>
      <c r="AI59" s="131"/>
      <c r="AJ59" s="132"/>
    </row>
    <row r="60" spans="1:68" ht="49.5" customHeight="1" x14ac:dyDescent="0.3">
      <c r="A60" s="5"/>
      <c r="B60" s="238" t="s">
        <v>131</v>
      </c>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40"/>
    </row>
    <row r="62" spans="1:68" x14ac:dyDescent="0.3">
      <c r="A62" s="1"/>
      <c r="B62" s="23" t="s">
        <v>143</v>
      </c>
      <c r="C62" s="1"/>
      <c r="D62" s="1"/>
      <c r="F62" s="1"/>
    </row>
  </sheetData>
  <dataConsolidate/>
  <mergeCells count="185">
    <mergeCell ref="C4:N4"/>
    <mergeCell ref="O4:Q4"/>
    <mergeCell ref="A1:AJ2"/>
    <mergeCell ref="A7:G7"/>
    <mergeCell ref="H7:N7"/>
    <mergeCell ref="O7:W7"/>
    <mergeCell ref="X7:AD7"/>
    <mergeCell ref="AE7:AJ7"/>
    <mergeCell ref="B60:AJ60"/>
    <mergeCell ref="M48:M53"/>
    <mergeCell ref="N48:N53"/>
    <mergeCell ref="A54:A59"/>
    <mergeCell ref="B54:B59"/>
    <mergeCell ref="C54:C59"/>
    <mergeCell ref="D54:D59"/>
    <mergeCell ref="E54:E59"/>
    <mergeCell ref="F54:F59"/>
    <mergeCell ref="G54:G59"/>
    <mergeCell ref="H54:H59"/>
    <mergeCell ref="I54:I59"/>
    <mergeCell ref="J54:J59"/>
    <mergeCell ref="K54:K59"/>
    <mergeCell ref="L54:L59"/>
    <mergeCell ref="M54:M59"/>
    <mergeCell ref="N54:N59"/>
    <mergeCell ref="J48:J53"/>
    <mergeCell ref="K48:K53"/>
    <mergeCell ref="L48:L53"/>
    <mergeCell ref="A48:A53"/>
    <mergeCell ref="B48:B53"/>
    <mergeCell ref="C48:C53"/>
    <mergeCell ref="D48:D53"/>
    <mergeCell ref="E48:E53"/>
    <mergeCell ref="F48:F53"/>
    <mergeCell ref="G48:G53"/>
    <mergeCell ref="H48:H53"/>
    <mergeCell ref="I48:I53"/>
    <mergeCell ref="M36:M41"/>
    <mergeCell ref="N36:N41"/>
    <mergeCell ref="F42:F47"/>
    <mergeCell ref="G42:G47"/>
    <mergeCell ref="H42:H47"/>
    <mergeCell ref="I42:I47"/>
    <mergeCell ref="J42:J47"/>
    <mergeCell ref="F36:F41"/>
    <mergeCell ref="G36:G41"/>
    <mergeCell ref="H36:H41"/>
    <mergeCell ref="I36:I41"/>
    <mergeCell ref="K42:K47"/>
    <mergeCell ref="L42:L47"/>
    <mergeCell ref="M42:M47"/>
    <mergeCell ref="N42:N47"/>
    <mergeCell ref="I24:I29"/>
    <mergeCell ref="J24:J29"/>
    <mergeCell ref="G30:G35"/>
    <mergeCell ref="H30:H35"/>
    <mergeCell ref="I30:I35"/>
    <mergeCell ref="K24:K29"/>
    <mergeCell ref="L24:L29"/>
    <mergeCell ref="A42:A47"/>
    <mergeCell ref="B42:B47"/>
    <mergeCell ref="C42:C47"/>
    <mergeCell ref="D42:D47"/>
    <mergeCell ref="E42:E47"/>
    <mergeCell ref="A36:A41"/>
    <mergeCell ref="B36:B41"/>
    <mergeCell ref="C36:C41"/>
    <mergeCell ref="D36:D41"/>
    <mergeCell ref="E36:E41"/>
    <mergeCell ref="M24:M29"/>
    <mergeCell ref="N24:N29"/>
    <mergeCell ref="M30:M35"/>
    <mergeCell ref="N30:N35"/>
    <mergeCell ref="J36:J41"/>
    <mergeCell ref="K36:K41"/>
    <mergeCell ref="L36:L41"/>
    <mergeCell ref="A24:A29"/>
    <mergeCell ref="B24:B29"/>
    <mergeCell ref="C24:C29"/>
    <mergeCell ref="A30:A35"/>
    <mergeCell ref="B30:B35"/>
    <mergeCell ref="C30:C35"/>
    <mergeCell ref="D30:D35"/>
    <mergeCell ref="E30:E35"/>
    <mergeCell ref="F30:F35"/>
    <mergeCell ref="D24:D29"/>
    <mergeCell ref="E24:E29"/>
    <mergeCell ref="J30:J35"/>
    <mergeCell ref="K30:K35"/>
    <mergeCell ref="L30:L35"/>
    <mergeCell ref="F24:F29"/>
    <mergeCell ref="G24:G29"/>
    <mergeCell ref="H24:H29"/>
    <mergeCell ref="M18:M19"/>
    <mergeCell ref="N18:N19"/>
    <mergeCell ref="A20:A23"/>
    <mergeCell ref="B20:B23"/>
    <mergeCell ref="C20:C23"/>
    <mergeCell ref="D20:D23"/>
    <mergeCell ref="E20:E23"/>
    <mergeCell ref="F20:F23"/>
    <mergeCell ref="G20:G23"/>
    <mergeCell ref="H20:H23"/>
    <mergeCell ref="I20:I23"/>
    <mergeCell ref="J20:J23"/>
    <mergeCell ref="K20:K23"/>
    <mergeCell ref="L20:L23"/>
    <mergeCell ref="M20:M23"/>
    <mergeCell ref="N20:N23"/>
    <mergeCell ref="K14:K17"/>
    <mergeCell ref="L14:L17"/>
    <mergeCell ref="M14:M17"/>
    <mergeCell ref="N14:N17"/>
    <mergeCell ref="A18:A19"/>
    <mergeCell ref="B18:B19"/>
    <mergeCell ref="C18:C19"/>
    <mergeCell ref="D18:D19"/>
    <mergeCell ref="E18:E19"/>
    <mergeCell ref="F18:F19"/>
    <mergeCell ref="G18:G19"/>
    <mergeCell ref="H18:H19"/>
    <mergeCell ref="I18:I19"/>
    <mergeCell ref="J18:J19"/>
    <mergeCell ref="K18:K19"/>
    <mergeCell ref="L18:L19"/>
    <mergeCell ref="F14:F17"/>
    <mergeCell ref="G14:G17"/>
    <mergeCell ref="H14:H17"/>
    <mergeCell ref="I14:I17"/>
    <mergeCell ref="J14:J17"/>
    <mergeCell ref="A14:A17"/>
    <mergeCell ref="B14:B17"/>
    <mergeCell ref="C14:C17"/>
    <mergeCell ref="D14:D17"/>
    <mergeCell ref="E14:E17"/>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3"/>
    <mergeCell ref="G10:G13"/>
    <mergeCell ref="H10:H13"/>
    <mergeCell ref="A10:A13"/>
    <mergeCell ref="B10:B13"/>
    <mergeCell ref="C10:C13"/>
    <mergeCell ref="D10:D13"/>
    <mergeCell ref="E10:E13"/>
    <mergeCell ref="N10:N13"/>
    <mergeCell ref="I10:I13"/>
    <mergeCell ref="J10:J13"/>
    <mergeCell ref="K10:K13"/>
    <mergeCell ref="L10:L13"/>
    <mergeCell ref="M10:M13"/>
  </mergeCells>
  <conditionalFormatting sqref="H10 H14 Y10:Y59">
    <cfRule type="cellIs" dxfId="90" priority="319" operator="equal">
      <formula>"Muy Alta"</formula>
    </cfRule>
    <cfRule type="cellIs" dxfId="89" priority="320" operator="equal">
      <formula>"Alta"</formula>
    </cfRule>
    <cfRule type="cellIs" dxfId="88" priority="321" operator="equal">
      <formula>"Media"</formula>
    </cfRule>
    <cfRule type="cellIs" dxfId="87" priority="322" operator="equal">
      <formula>"Baja"</formula>
    </cfRule>
    <cfRule type="cellIs" dxfId="86" priority="323" operator="equal">
      <formula>"Muy Baja"</formula>
    </cfRule>
  </conditionalFormatting>
  <conditionalFormatting sqref="H18">
    <cfRule type="cellIs" dxfId="85" priority="221" operator="equal">
      <formula>"Muy Alta"</formula>
    </cfRule>
    <cfRule type="cellIs" dxfId="84" priority="222" operator="equal">
      <formula>"Alta"</formula>
    </cfRule>
    <cfRule type="cellIs" dxfId="83" priority="223" operator="equal">
      <formula>"Media"</formula>
    </cfRule>
    <cfRule type="cellIs" dxfId="82" priority="224" operator="equal">
      <formula>"Baja"</formula>
    </cfRule>
    <cfRule type="cellIs" dxfId="81" priority="225" operator="equal">
      <formula>"Muy Baja"</formula>
    </cfRule>
  </conditionalFormatting>
  <conditionalFormatting sqref="H20">
    <cfRule type="cellIs" dxfId="80" priority="193" operator="equal">
      <formula>"Muy Alta"</formula>
    </cfRule>
    <cfRule type="cellIs" dxfId="79" priority="194" operator="equal">
      <formula>"Alta"</formula>
    </cfRule>
    <cfRule type="cellIs" dxfId="78" priority="195" operator="equal">
      <formula>"Media"</formula>
    </cfRule>
    <cfRule type="cellIs" dxfId="77" priority="196" operator="equal">
      <formula>"Baja"</formula>
    </cfRule>
    <cfRule type="cellIs" dxfId="76" priority="197" operator="equal">
      <formula>"Muy Baja"</formula>
    </cfRule>
  </conditionalFormatting>
  <conditionalFormatting sqref="H24">
    <cfRule type="cellIs" dxfId="75" priority="165" operator="equal">
      <formula>"Muy Alta"</formula>
    </cfRule>
    <cfRule type="cellIs" dxfId="74" priority="166" operator="equal">
      <formula>"Alta"</formula>
    </cfRule>
    <cfRule type="cellIs" dxfId="73" priority="167" operator="equal">
      <formula>"Media"</formula>
    </cfRule>
    <cfRule type="cellIs" dxfId="72" priority="168" operator="equal">
      <formula>"Baja"</formula>
    </cfRule>
    <cfRule type="cellIs" dxfId="71" priority="169" operator="equal">
      <formula>"Muy Baja"</formula>
    </cfRule>
  </conditionalFormatting>
  <conditionalFormatting sqref="H30">
    <cfRule type="cellIs" dxfId="70" priority="137" operator="equal">
      <formula>"Muy Alta"</formula>
    </cfRule>
    <cfRule type="cellIs" dxfId="69" priority="138" operator="equal">
      <formula>"Alta"</formula>
    </cfRule>
    <cfRule type="cellIs" dxfId="68" priority="139" operator="equal">
      <formula>"Media"</formula>
    </cfRule>
    <cfRule type="cellIs" dxfId="67" priority="140" operator="equal">
      <formula>"Baja"</formula>
    </cfRule>
    <cfRule type="cellIs" dxfId="66" priority="141" operator="equal">
      <formula>"Muy Baja"</formula>
    </cfRule>
  </conditionalFormatting>
  <conditionalFormatting sqref="H36">
    <cfRule type="cellIs" dxfId="65" priority="109" operator="equal">
      <formula>"Muy Alta"</formula>
    </cfRule>
    <cfRule type="cellIs" dxfId="64" priority="110" operator="equal">
      <formula>"Alta"</formula>
    </cfRule>
    <cfRule type="cellIs" dxfId="63" priority="111" operator="equal">
      <formula>"Media"</formula>
    </cfRule>
    <cfRule type="cellIs" dxfId="62" priority="112" operator="equal">
      <formula>"Baja"</formula>
    </cfRule>
    <cfRule type="cellIs" dxfId="61" priority="113" operator="equal">
      <formula>"Muy Baja"</formula>
    </cfRule>
  </conditionalFormatting>
  <conditionalFormatting sqref="H42">
    <cfRule type="cellIs" dxfId="60" priority="81" operator="equal">
      <formula>"Muy Alta"</formula>
    </cfRule>
    <cfRule type="cellIs" dxfId="59" priority="82" operator="equal">
      <formula>"Alta"</formula>
    </cfRule>
    <cfRule type="cellIs" dxfId="58" priority="83" operator="equal">
      <formula>"Media"</formula>
    </cfRule>
    <cfRule type="cellIs" dxfId="57" priority="84" operator="equal">
      <formula>"Baja"</formula>
    </cfRule>
    <cfRule type="cellIs" dxfId="56" priority="85" operator="equal">
      <formula>"Muy Baja"</formula>
    </cfRule>
  </conditionalFormatting>
  <conditionalFormatting sqref="H48">
    <cfRule type="cellIs" dxfId="55" priority="53" operator="equal">
      <formula>"Muy Alta"</formula>
    </cfRule>
    <cfRule type="cellIs" dxfId="54" priority="54" operator="equal">
      <formula>"Alta"</formula>
    </cfRule>
    <cfRule type="cellIs" dxfId="53" priority="55" operator="equal">
      <formula>"Media"</formula>
    </cfRule>
    <cfRule type="cellIs" dxfId="52" priority="56" operator="equal">
      <formula>"Baja"</formula>
    </cfRule>
    <cfRule type="cellIs" dxfId="51" priority="57" operator="equal">
      <formula>"Muy Baja"</formula>
    </cfRule>
  </conditionalFormatting>
  <conditionalFormatting sqref="H54">
    <cfRule type="cellIs" dxfId="50" priority="25" operator="equal">
      <formula>"Muy Alta"</formula>
    </cfRule>
    <cfRule type="cellIs" dxfId="49" priority="26" operator="equal">
      <formula>"Alta"</formula>
    </cfRule>
    <cfRule type="cellIs" dxfId="48" priority="27" operator="equal">
      <formula>"Media"</formula>
    </cfRule>
    <cfRule type="cellIs" dxfId="47" priority="28" operator="equal">
      <formula>"Baja"</formula>
    </cfRule>
    <cfRule type="cellIs" dxfId="46" priority="29" operator="equal">
      <formula>"Muy Baja"</formula>
    </cfRule>
  </conditionalFormatting>
  <conditionalFormatting sqref="K10:K59">
    <cfRule type="containsText" dxfId="45" priority="1" operator="containsText" text="❌">
      <formula>NOT(ISERROR(SEARCH("❌",K10)))</formula>
    </cfRule>
  </conditionalFormatting>
  <conditionalFormatting sqref="L10 L14 L18 L24 L30 L36 L42 L48 L54 AA10:AA59 L20">
    <cfRule type="cellIs" dxfId="44" priority="314" operator="equal">
      <formula>"Catastrófico"</formula>
    </cfRule>
    <cfRule type="cellIs" dxfId="43" priority="315" operator="equal">
      <formula>"Mayor"</formula>
    </cfRule>
    <cfRule type="cellIs" dxfId="42" priority="316" operator="equal">
      <formula>"Moderado"</formula>
    </cfRule>
    <cfRule type="cellIs" dxfId="41" priority="317" operator="equal">
      <formula>"Menor"</formula>
    </cfRule>
    <cfRule type="cellIs" dxfId="40" priority="318" operator="equal">
      <formula>"Leve"</formula>
    </cfRule>
  </conditionalFormatting>
  <conditionalFormatting sqref="N10 AC10:AC59">
    <cfRule type="cellIs" dxfId="39" priority="310" operator="equal">
      <formula>"Extremo"</formula>
    </cfRule>
    <cfRule type="cellIs" dxfId="38" priority="311" operator="equal">
      <formula>"Alto"</formula>
    </cfRule>
    <cfRule type="cellIs" dxfId="37" priority="312" operator="equal">
      <formula>"Moderado"</formula>
    </cfRule>
    <cfRule type="cellIs" dxfId="36" priority="313" operator="equal">
      <formula>"Bajo"</formula>
    </cfRule>
  </conditionalFormatting>
  <conditionalFormatting sqref="N14">
    <cfRule type="cellIs" dxfId="35" priority="240" operator="equal">
      <formula>"Extremo"</formula>
    </cfRule>
    <cfRule type="cellIs" dxfId="34" priority="241" operator="equal">
      <formula>"Alto"</formula>
    </cfRule>
    <cfRule type="cellIs" dxfId="33" priority="242" operator="equal">
      <formula>"Moderado"</formula>
    </cfRule>
    <cfRule type="cellIs" dxfId="32" priority="243" operator="equal">
      <formula>"Bajo"</formula>
    </cfRule>
  </conditionalFormatting>
  <conditionalFormatting sqref="N18">
    <cfRule type="cellIs" dxfId="31" priority="212" operator="equal">
      <formula>"Extremo"</formula>
    </cfRule>
    <cfRule type="cellIs" dxfId="30" priority="213" operator="equal">
      <formula>"Alto"</formula>
    </cfRule>
    <cfRule type="cellIs" dxfId="29" priority="214" operator="equal">
      <formula>"Moderado"</formula>
    </cfRule>
    <cfRule type="cellIs" dxfId="28" priority="215" operator="equal">
      <formula>"Bajo"</formula>
    </cfRule>
  </conditionalFormatting>
  <conditionalFormatting sqref="N20">
    <cfRule type="cellIs" dxfId="27" priority="184" operator="equal">
      <formula>"Extremo"</formula>
    </cfRule>
    <cfRule type="cellIs" dxfId="26" priority="185" operator="equal">
      <formula>"Alto"</formula>
    </cfRule>
    <cfRule type="cellIs" dxfId="25" priority="186" operator="equal">
      <formula>"Moderado"</formula>
    </cfRule>
    <cfRule type="cellIs" dxfId="24" priority="187" operator="equal">
      <formula>"Bajo"</formula>
    </cfRule>
  </conditionalFormatting>
  <conditionalFormatting sqref="N24">
    <cfRule type="cellIs" dxfId="23" priority="156" operator="equal">
      <formula>"Extremo"</formula>
    </cfRule>
    <cfRule type="cellIs" dxfId="22" priority="157" operator="equal">
      <formula>"Alto"</formula>
    </cfRule>
    <cfRule type="cellIs" dxfId="21" priority="158" operator="equal">
      <formula>"Moderado"</formula>
    </cfRule>
    <cfRule type="cellIs" dxfId="20" priority="159" operator="equal">
      <formula>"Bajo"</formula>
    </cfRule>
  </conditionalFormatting>
  <conditionalFormatting sqref="N30">
    <cfRule type="cellIs" dxfId="19" priority="128" operator="equal">
      <formula>"Extremo"</formula>
    </cfRule>
    <cfRule type="cellIs" dxfId="18" priority="129" operator="equal">
      <formula>"Alto"</formula>
    </cfRule>
    <cfRule type="cellIs" dxfId="17" priority="130" operator="equal">
      <formula>"Moderado"</formula>
    </cfRule>
    <cfRule type="cellIs" dxfId="16" priority="131" operator="equal">
      <formula>"Bajo"</formula>
    </cfRule>
  </conditionalFormatting>
  <conditionalFormatting sqref="N36">
    <cfRule type="cellIs" dxfId="15" priority="100" operator="equal">
      <formula>"Extremo"</formula>
    </cfRule>
    <cfRule type="cellIs" dxfId="14" priority="101" operator="equal">
      <formula>"Alto"</formula>
    </cfRule>
    <cfRule type="cellIs" dxfId="13" priority="102" operator="equal">
      <formula>"Moderado"</formula>
    </cfRule>
    <cfRule type="cellIs" dxfId="12" priority="103" operator="equal">
      <formula>"Bajo"</formula>
    </cfRule>
  </conditionalFormatting>
  <conditionalFormatting sqref="N42">
    <cfRule type="cellIs" dxfId="11" priority="72" operator="equal">
      <formula>"Extremo"</formula>
    </cfRule>
    <cfRule type="cellIs" dxfId="10" priority="73" operator="equal">
      <formula>"Alto"</formula>
    </cfRule>
    <cfRule type="cellIs" dxfId="9" priority="74" operator="equal">
      <formula>"Moderado"</formula>
    </cfRule>
    <cfRule type="cellIs" dxfId="8" priority="75" operator="equal">
      <formula>"Bajo"</formula>
    </cfRule>
  </conditionalFormatting>
  <conditionalFormatting sqref="N48">
    <cfRule type="cellIs" dxfId="7" priority="44" operator="equal">
      <formula>"Extremo"</formula>
    </cfRule>
    <cfRule type="cellIs" dxfId="6" priority="45" operator="equal">
      <formula>"Alto"</formula>
    </cfRule>
    <cfRule type="cellIs" dxfId="5" priority="46" operator="equal">
      <formula>"Moderado"</formula>
    </cfRule>
    <cfRule type="cellIs" dxfId="4" priority="47" operator="equal">
      <formula>"Bajo"</formula>
    </cfRule>
  </conditionalFormatting>
  <conditionalFormatting sqref="N54">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AJ10:AJ23 AJ24:AJ25 AJ27:AJ28 AJ30:AJ31 AJ33:AJ34 AJ36:AJ37 AJ39:AJ40 AJ42:AJ43 AJ45:AJ46 AJ48:AJ49 AJ51:AJ52 AJ54:AJ55 AJ57:AJ58</xm:sqref>
        </x14:dataValidation>
        <x14:dataValidation type="list" allowBlank="1" showInputMessage="1" showErrorMessage="1" xr:uid="{00000000-0002-0000-0100-000000000000}">
          <x14:formula1>
            <xm:f>'Tabla Valoración controles'!$D$4:$D$6</xm:f>
          </x14:formula1>
          <xm:sqref>R10:R59</xm:sqref>
        </x14:dataValidation>
        <x14:dataValidation type="list" allowBlank="1" showInputMessage="1" showErrorMessage="1" xr:uid="{00000000-0002-0000-0100-000001000000}">
          <x14:formula1>
            <xm:f>'Tabla Valoración controles'!$D$7:$D$8</xm:f>
          </x14:formula1>
          <xm:sqref>S10:S59</xm:sqref>
        </x14:dataValidation>
        <x14:dataValidation type="list" allowBlank="1" showInputMessage="1" showErrorMessage="1" xr:uid="{00000000-0002-0000-0100-000002000000}">
          <x14:formula1>
            <xm:f>'Tabla Valoración controles'!$D$9:$D$10</xm:f>
          </x14:formula1>
          <xm:sqref>U10:U59</xm:sqref>
        </x14:dataValidation>
        <x14:dataValidation type="list" allowBlank="1" showInputMessage="1" showErrorMessage="1" xr:uid="{00000000-0002-0000-0100-000003000000}">
          <x14:formula1>
            <xm:f>'Tabla Valoración controles'!$D$11:$D$12</xm:f>
          </x14:formula1>
          <xm:sqref>V10:V59</xm:sqref>
        </x14:dataValidation>
        <x14:dataValidation type="list" allowBlank="1" showInputMessage="1" showErrorMessage="1" xr:uid="{00000000-0002-0000-0100-000005000000}">
          <x14:formula1>
            <xm:f>'Tabla Valoración controles'!$D$13:$D$14</xm:f>
          </x14:formula1>
          <xm:sqref>W10:W59</xm:sqref>
        </x14:dataValidation>
        <x14:dataValidation type="list" allowBlank="1" showInputMessage="1" showErrorMessage="1" xr:uid="{00000000-0002-0000-0100-000006000000}">
          <x14:formula1>
            <xm:f>'Opciones Tratamiento'!$B$13:$B$19</xm:f>
          </x14:formula1>
          <xm:sqref>F10:F59</xm:sqref>
        </x14:dataValidation>
        <x14:dataValidation type="list" allowBlank="1" showInputMessage="1" showErrorMessage="1" xr:uid="{00000000-0002-0000-0100-000007000000}">
          <x14:formula1>
            <xm:f>'Opciones Tratamiento'!$E$2:$E$4</xm:f>
          </x14:formula1>
          <xm:sqref>B10:B59</xm:sqref>
        </x14:dataValidation>
        <x14:dataValidation type="list" allowBlank="1" showInputMessage="1" showErrorMessage="1" xr:uid="{00000000-0002-0000-0100-000008000000}">
          <x14:formula1>
            <xm:f>'Opciones Tratamiento'!$B$2:$B$5</xm:f>
          </x14:formula1>
          <xm:sqref>AD10:AD59</xm:sqref>
        </x14:dataValidation>
        <x14:dataValidation type="list" allowBlank="1" showInputMessage="1" showErrorMessage="1" xr:uid="{00000000-0002-0000-0100-000009000000}">
          <x14:formula1>
            <xm:f>'Tabla Impacto'!$F$210:$F$221</xm:f>
          </x14:formula1>
          <xm:sqref>J10:J59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AE10:AE59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AF10:AF59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AG10:AG59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AH10:AH59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241" t="s">
        <v>161</v>
      </c>
      <c r="C2" s="241"/>
      <c r="D2" s="241"/>
      <c r="E2" s="241"/>
      <c r="F2" s="241"/>
      <c r="G2" s="241"/>
      <c r="H2" s="241"/>
      <c r="I2" s="241"/>
      <c r="J2" s="278" t="s">
        <v>2</v>
      </c>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241"/>
      <c r="C3" s="241"/>
      <c r="D3" s="241"/>
      <c r="E3" s="241"/>
      <c r="F3" s="241"/>
      <c r="G3" s="241"/>
      <c r="H3" s="241"/>
      <c r="I3" s="241"/>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241"/>
      <c r="C4" s="241"/>
      <c r="D4" s="241"/>
      <c r="E4" s="241"/>
      <c r="F4" s="241"/>
      <c r="G4" s="241"/>
      <c r="H4" s="241"/>
      <c r="I4" s="241"/>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289" t="s">
        <v>4</v>
      </c>
      <c r="C6" s="289"/>
      <c r="D6" s="290"/>
      <c r="E6" s="279" t="s">
        <v>116</v>
      </c>
      <c r="F6" s="280"/>
      <c r="G6" s="280"/>
      <c r="H6" s="280"/>
      <c r="I6" s="281"/>
      <c r="J6" s="275" t="str">
        <f>IF(AND('Mapa final'!$H$10="Muy Alta",'Mapa final'!$L$10="Leve"),CONCATENATE("R",'Mapa final'!$A$10),"")</f>
        <v/>
      </c>
      <c r="K6" s="276"/>
      <c r="L6" s="276" t="str">
        <f>IF(AND('Mapa final'!$H$14="Muy Alta",'Mapa final'!$L$14="Leve"),CONCATENATE("R",'Mapa final'!$A$14),"")</f>
        <v/>
      </c>
      <c r="M6" s="276"/>
      <c r="N6" s="276" t="str">
        <f>IF(AND('Mapa final'!$H$18="Muy Alta",'Mapa final'!$L$18="Leve"),CONCATENATE("R",'Mapa final'!$A$18),"")</f>
        <v/>
      </c>
      <c r="O6" s="277"/>
      <c r="P6" s="275" t="str">
        <f>IF(AND('Mapa final'!$H$10="Muy Alta",'Mapa final'!$L$10="Menor"),CONCATENATE("R",'Mapa final'!$A$10),"")</f>
        <v/>
      </c>
      <c r="Q6" s="276"/>
      <c r="R6" s="276" t="str">
        <f>IF(AND('Mapa final'!$H$14="Muy Alta",'Mapa final'!$L$14="Menor"),CONCATENATE("R",'Mapa final'!$A$14),"")</f>
        <v/>
      </c>
      <c r="S6" s="276"/>
      <c r="T6" s="276" t="str">
        <f>IF(AND('Mapa final'!$H$18="Muy Alta",'Mapa final'!$L$18="Menor"),CONCATENATE("R",'Mapa final'!$A$18),"")</f>
        <v/>
      </c>
      <c r="U6" s="277"/>
      <c r="V6" s="275" t="str">
        <f>IF(AND('Mapa final'!$H$10="Muy Alta",'Mapa final'!$L$10="Moderado"),CONCATENATE("R",'Mapa final'!$A$10),"")</f>
        <v/>
      </c>
      <c r="W6" s="276"/>
      <c r="X6" s="276" t="str">
        <f>IF(AND('Mapa final'!$H$14="Muy Alta",'Mapa final'!$L$14="Moderado"),CONCATENATE("R",'Mapa final'!$A$14),"")</f>
        <v/>
      </c>
      <c r="Y6" s="276"/>
      <c r="Z6" s="276" t="str">
        <f>IF(AND('Mapa final'!$H$18="Muy Alta",'Mapa final'!$L$18="Moderado"),CONCATENATE("R",'Mapa final'!$A$18),"")</f>
        <v/>
      </c>
      <c r="AA6" s="277"/>
      <c r="AB6" s="275" t="str">
        <f>IF(AND('Mapa final'!$H$10="Muy Alta",'Mapa final'!$L$10="Mayor"),CONCATENATE("R",'Mapa final'!$A$10),"")</f>
        <v/>
      </c>
      <c r="AC6" s="276"/>
      <c r="AD6" s="276" t="str">
        <f>IF(AND('Mapa final'!$H$14="Muy Alta",'Mapa final'!$L$14="Mayor"),CONCATENATE("R",'Mapa final'!$A$14),"")</f>
        <v/>
      </c>
      <c r="AE6" s="276"/>
      <c r="AF6" s="276" t="str">
        <f>IF(AND('Mapa final'!$H$18="Muy Alta",'Mapa final'!$L$18="Mayor"),CONCATENATE("R",'Mapa final'!$A$18),"")</f>
        <v/>
      </c>
      <c r="AG6" s="277"/>
      <c r="AH6" s="266" t="str">
        <f>IF(AND('Mapa final'!$H$10="Muy Alta",'Mapa final'!$L$10="Catastrófico"),CONCATENATE("R",'Mapa final'!$A$10),"")</f>
        <v/>
      </c>
      <c r="AI6" s="267"/>
      <c r="AJ6" s="267" t="str">
        <f>IF(AND('Mapa final'!$H$14="Muy Alta",'Mapa final'!$L$14="Catastrófico"),CONCATENATE("R",'Mapa final'!$A$14),"")</f>
        <v/>
      </c>
      <c r="AK6" s="267"/>
      <c r="AL6" s="267" t="str">
        <f>IF(AND('Mapa final'!$H$18="Muy Alta",'Mapa final'!$L$18="Catastrófico"),CONCATENATE("R",'Mapa final'!$A$18),"")</f>
        <v/>
      </c>
      <c r="AM6" s="268"/>
      <c r="AO6" s="291" t="s">
        <v>79</v>
      </c>
      <c r="AP6" s="292"/>
      <c r="AQ6" s="292"/>
      <c r="AR6" s="292"/>
      <c r="AS6" s="292"/>
      <c r="AT6" s="293"/>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289"/>
      <c r="C7" s="289"/>
      <c r="D7" s="290"/>
      <c r="E7" s="282"/>
      <c r="F7" s="283"/>
      <c r="G7" s="283"/>
      <c r="H7" s="283"/>
      <c r="I7" s="284"/>
      <c r="J7" s="269"/>
      <c r="K7" s="270"/>
      <c r="L7" s="270"/>
      <c r="M7" s="270"/>
      <c r="N7" s="270"/>
      <c r="O7" s="271"/>
      <c r="P7" s="269"/>
      <c r="Q7" s="270"/>
      <c r="R7" s="270"/>
      <c r="S7" s="270"/>
      <c r="T7" s="270"/>
      <c r="U7" s="271"/>
      <c r="V7" s="269"/>
      <c r="W7" s="270"/>
      <c r="X7" s="270"/>
      <c r="Y7" s="270"/>
      <c r="Z7" s="270"/>
      <c r="AA7" s="271"/>
      <c r="AB7" s="269"/>
      <c r="AC7" s="270"/>
      <c r="AD7" s="270"/>
      <c r="AE7" s="270"/>
      <c r="AF7" s="270"/>
      <c r="AG7" s="271"/>
      <c r="AH7" s="260"/>
      <c r="AI7" s="261"/>
      <c r="AJ7" s="261"/>
      <c r="AK7" s="261"/>
      <c r="AL7" s="261"/>
      <c r="AM7" s="262"/>
      <c r="AN7" s="81"/>
      <c r="AO7" s="294"/>
      <c r="AP7" s="295"/>
      <c r="AQ7" s="295"/>
      <c r="AR7" s="295"/>
      <c r="AS7" s="295"/>
      <c r="AT7" s="296"/>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289"/>
      <c r="C8" s="289"/>
      <c r="D8" s="290"/>
      <c r="E8" s="282"/>
      <c r="F8" s="283"/>
      <c r="G8" s="283"/>
      <c r="H8" s="283"/>
      <c r="I8" s="284"/>
      <c r="J8" s="269" t="str">
        <f>IF(AND('Mapa final'!$H$20="Muy Alta",'Mapa final'!$L$20="Leve"),CONCATENATE("R",'Mapa final'!$A$20),"")</f>
        <v/>
      </c>
      <c r="K8" s="270"/>
      <c r="L8" s="270" t="str">
        <f>IF(AND('Mapa final'!$H$24="Muy Alta",'Mapa final'!$L$24="Leve"),CONCATENATE("R",'Mapa final'!$A$24),"")</f>
        <v/>
      </c>
      <c r="M8" s="270"/>
      <c r="N8" s="270" t="str">
        <f>IF(AND('Mapa final'!$H$30="Muy Alta",'Mapa final'!$L$30="Leve"),CONCATENATE("R",'Mapa final'!$A$30),"")</f>
        <v/>
      </c>
      <c r="O8" s="271"/>
      <c r="P8" s="269" t="str">
        <f>IF(AND('Mapa final'!$H$20="Muy Alta",'Mapa final'!$L$20="Menor"),CONCATENATE("R",'Mapa final'!$A$20),"")</f>
        <v/>
      </c>
      <c r="Q8" s="270"/>
      <c r="R8" s="270" t="str">
        <f>IF(AND('Mapa final'!$H$24="Muy Alta",'Mapa final'!$L$24="Menor"),CONCATENATE("R",'Mapa final'!$A$24),"")</f>
        <v/>
      </c>
      <c r="S8" s="270"/>
      <c r="T8" s="270" t="str">
        <f>IF(AND('Mapa final'!$H$30="Muy Alta",'Mapa final'!$L$30="Menor"),CONCATENATE("R",'Mapa final'!$A$30),"")</f>
        <v/>
      </c>
      <c r="U8" s="271"/>
      <c r="V8" s="269" t="str">
        <f>IF(AND('Mapa final'!$H$20="Muy Alta",'Mapa final'!$L$20="Moderado"),CONCATENATE("R",'Mapa final'!$A$20),"")</f>
        <v/>
      </c>
      <c r="W8" s="270"/>
      <c r="X8" s="270" t="str">
        <f>IF(AND('Mapa final'!$H$24="Muy Alta",'Mapa final'!$L$24="Moderado"),CONCATENATE("R",'Mapa final'!$A$24),"")</f>
        <v/>
      </c>
      <c r="Y8" s="270"/>
      <c r="Z8" s="270" t="str">
        <f>IF(AND('Mapa final'!$H$30="Muy Alta",'Mapa final'!$L$30="Moderado"),CONCATENATE("R",'Mapa final'!$A$30),"")</f>
        <v/>
      </c>
      <c r="AA8" s="271"/>
      <c r="AB8" s="269" t="str">
        <f>IF(AND('Mapa final'!$H$20="Muy Alta",'Mapa final'!$L$20="Mayor"),CONCATENATE("R",'Mapa final'!$A$20),"")</f>
        <v/>
      </c>
      <c r="AC8" s="270"/>
      <c r="AD8" s="270" t="str">
        <f>IF(AND('Mapa final'!$H$24="Muy Alta",'Mapa final'!$L$24="Mayor"),CONCATENATE("R",'Mapa final'!$A$24),"")</f>
        <v/>
      </c>
      <c r="AE8" s="270"/>
      <c r="AF8" s="270" t="str">
        <f>IF(AND('Mapa final'!$H$30="Muy Alta",'Mapa final'!$L$30="Mayor"),CONCATENATE("R",'Mapa final'!$A$30),"")</f>
        <v/>
      </c>
      <c r="AG8" s="271"/>
      <c r="AH8" s="260" t="str">
        <f>IF(AND('Mapa final'!$H$20="Muy Alta",'Mapa final'!$L$20="Catastrófico"),CONCATENATE("R",'Mapa final'!$A$20),"")</f>
        <v/>
      </c>
      <c r="AI8" s="261"/>
      <c r="AJ8" s="261" t="str">
        <f>IF(AND('Mapa final'!$H$24="Muy Alta",'Mapa final'!$L$24="Catastrófico"),CONCATENATE("R",'Mapa final'!$A$24),"")</f>
        <v/>
      </c>
      <c r="AK8" s="261"/>
      <c r="AL8" s="261" t="str">
        <f>IF(AND('Mapa final'!$H$30="Muy Alta",'Mapa final'!$L$30="Catastrófico"),CONCATENATE("R",'Mapa final'!$A$30),"")</f>
        <v/>
      </c>
      <c r="AM8" s="262"/>
      <c r="AN8" s="81"/>
      <c r="AO8" s="294"/>
      <c r="AP8" s="295"/>
      <c r="AQ8" s="295"/>
      <c r="AR8" s="295"/>
      <c r="AS8" s="295"/>
      <c r="AT8" s="296"/>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289"/>
      <c r="C9" s="289"/>
      <c r="D9" s="290"/>
      <c r="E9" s="282"/>
      <c r="F9" s="283"/>
      <c r="G9" s="283"/>
      <c r="H9" s="283"/>
      <c r="I9" s="284"/>
      <c r="J9" s="269"/>
      <c r="K9" s="270"/>
      <c r="L9" s="270"/>
      <c r="M9" s="270"/>
      <c r="N9" s="270"/>
      <c r="O9" s="271"/>
      <c r="P9" s="269"/>
      <c r="Q9" s="270"/>
      <c r="R9" s="270"/>
      <c r="S9" s="270"/>
      <c r="T9" s="270"/>
      <c r="U9" s="271"/>
      <c r="V9" s="269"/>
      <c r="W9" s="270"/>
      <c r="X9" s="270"/>
      <c r="Y9" s="270"/>
      <c r="Z9" s="270"/>
      <c r="AA9" s="271"/>
      <c r="AB9" s="269"/>
      <c r="AC9" s="270"/>
      <c r="AD9" s="270"/>
      <c r="AE9" s="270"/>
      <c r="AF9" s="270"/>
      <c r="AG9" s="271"/>
      <c r="AH9" s="260"/>
      <c r="AI9" s="261"/>
      <c r="AJ9" s="261"/>
      <c r="AK9" s="261"/>
      <c r="AL9" s="261"/>
      <c r="AM9" s="262"/>
      <c r="AN9" s="81"/>
      <c r="AO9" s="294"/>
      <c r="AP9" s="295"/>
      <c r="AQ9" s="295"/>
      <c r="AR9" s="295"/>
      <c r="AS9" s="295"/>
      <c r="AT9" s="296"/>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289"/>
      <c r="C10" s="289"/>
      <c r="D10" s="290"/>
      <c r="E10" s="282"/>
      <c r="F10" s="283"/>
      <c r="G10" s="283"/>
      <c r="H10" s="283"/>
      <c r="I10" s="284"/>
      <c r="J10" s="269" t="str">
        <f>IF(AND('Mapa final'!$H$36="Muy Alta",'Mapa final'!$L$36="Leve"),CONCATENATE("R",'Mapa final'!$A$36),"")</f>
        <v/>
      </c>
      <c r="K10" s="270"/>
      <c r="L10" s="270" t="str">
        <f>IF(AND('Mapa final'!$H$42="Muy Alta",'Mapa final'!$L$42="Leve"),CONCATENATE("R",'Mapa final'!$A$42),"")</f>
        <v/>
      </c>
      <c r="M10" s="270"/>
      <c r="N10" s="270" t="str">
        <f>IF(AND('Mapa final'!$H$48="Muy Alta",'Mapa final'!$L$48="Leve"),CONCATENATE("R",'Mapa final'!$A$48),"")</f>
        <v/>
      </c>
      <c r="O10" s="271"/>
      <c r="P10" s="269" t="str">
        <f>IF(AND('Mapa final'!$H$36="Muy Alta",'Mapa final'!$L$36="Menor"),CONCATENATE("R",'Mapa final'!$A$36),"")</f>
        <v/>
      </c>
      <c r="Q10" s="270"/>
      <c r="R10" s="270" t="str">
        <f>IF(AND('Mapa final'!$H$42="Muy Alta",'Mapa final'!$L$42="Menor"),CONCATENATE("R",'Mapa final'!$A$42),"")</f>
        <v/>
      </c>
      <c r="S10" s="270"/>
      <c r="T10" s="270" t="str">
        <f>IF(AND('Mapa final'!$H$48="Muy Alta",'Mapa final'!$L$48="Menor"),CONCATENATE("R",'Mapa final'!$A$48),"")</f>
        <v/>
      </c>
      <c r="U10" s="271"/>
      <c r="V10" s="269" t="str">
        <f>IF(AND('Mapa final'!$H$36="Muy Alta",'Mapa final'!$L$36="Moderado"),CONCATENATE("R",'Mapa final'!$A$36),"")</f>
        <v/>
      </c>
      <c r="W10" s="270"/>
      <c r="X10" s="270" t="str">
        <f>IF(AND('Mapa final'!$H$42="Muy Alta",'Mapa final'!$L$42="Moderado"),CONCATENATE("R",'Mapa final'!$A$42),"")</f>
        <v/>
      </c>
      <c r="Y10" s="270"/>
      <c r="Z10" s="270" t="str">
        <f>IF(AND('Mapa final'!$H$48="Muy Alta",'Mapa final'!$L$48="Moderado"),CONCATENATE("R",'Mapa final'!$A$48),"")</f>
        <v/>
      </c>
      <c r="AA10" s="271"/>
      <c r="AB10" s="269" t="str">
        <f>IF(AND('Mapa final'!$H$36="Muy Alta",'Mapa final'!$L$36="Mayor"),CONCATENATE("R",'Mapa final'!$A$36),"")</f>
        <v/>
      </c>
      <c r="AC10" s="270"/>
      <c r="AD10" s="270" t="str">
        <f>IF(AND('Mapa final'!$H$42="Muy Alta",'Mapa final'!$L$42="Mayor"),CONCATENATE("R",'Mapa final'!$A$42),"")</f>
        <v/>
      </c>
      <c r="AE10" s="270"/>
      <c r="AF10" s="270" t="str">
        <f>IF(AND('Mapa final'!$H$48="Muy Alta",'Mapa final'!$L$48="Mayor"),CONCATENATE("R",'Mapa final'!$A$48),"")</f>
        <v/>
      </c>
      <c r="AG10" s="271"/>
      <c r="AH10" s="260" t="str">
        <f>IF(AND('Mapa final'!$H$36="Muy Alta",'Mapa final'!$L$36="Catastrófico"),CONCATENATE("R",'Mapa final'!$A$36),"")</f>
        <v/>
      </c>
      <c r="AI10" s="261"/>
      <c r="AJ10" s="261" t="str">
        <f>IF(AND('Mapa final'!$H$42="Muy Alta",'Mapa final'!$L$42="Catastrófico"),CONCATENATE("R",'Mapa final'!$A$42),"")</f>
        <v/>
      </c>
      <c r="AK10" s="261"/>
      <c r="AL10" s="261" t="str">
        <f>IF(AND('Mapa final'!$H$48="Muy Alta",'Mapa final'!$L$48="Catastrófico"),CONCATENATE("R",'Mapa final'!$A$48),"")</f>
        <v/>
      </c>
      <c r="AM10" s="262"/>
      <c r="AN10" s="81"/>
      <c r="AO10" s="294"/>
      <c r="AP10" s="295"/>
      <c r="AQ10" s="295"/>
      <c r="AR10" s="295"/>
      <c r="AS10" s="295"/>
      <c r="AT10" s="296"/>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289"/>
      <c r="C11" s="289"/>
      <c r="D11" s="290"/>
      <c r="E11" s="282"/>
      <c r="F11" s="283"/>
      <c r="G11" s="283"/>
      <c r="H11" s="283"/>
      <c r="I11" s="284"/>
      <c r="J11" s="269"/>
      <c r="K11" s="270"/>
      <c r="L11" s="270"/>
      <c r="M11" s="270"/>
      <c r="N11" s="270"/>
      <c r="O11" s="271"/>
      <c r="P11" s="269"/>
      <c r="Q11" s="270"/>
      <c r="R11" s="270"/>
      <c r="S11" s="270"/>
      <c r="T11" s="270"/>
      <c r="U11" s="271"/>
      <c r="V11" s="269"/>
      <c r="W11" s="270"/>
      <c r="X11" s="270"/>
      <c r="Y11" s="270"/>
      <c r="Z11" s="270"/>
      <c r="AA11" s="271"/>
      <c r="AB11" s="269"/>
      <c r="AC11" s="270"/>
      <c r="AD11" s="270"/>
      <c r="AE11" s="270"/>
      <c r="AF11" s="270"/>
      <c r="AG11" s="271"/>
      <c r="AH11" s="260"/>
      <c r="AI11" s="261"/>
      <c r="AJ11" s="261"/>
      <c r="AK11" s="261"/>
      <c r="AL11" s="261"/>
      <c r="AM11" s="262"/>
      <c r="AN11" s="81"/>
      <c r="AO11" s="294"/>
      <c r="AP11" s="295"/>
      <c r="AQ11" s="295"/>
      <c r="AR11" s="295"/>
      <c r="AS11" s="295"/>
      <c r="AT11" s="296"/>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289"/>
      <c r="C12" s="289"/>
      <c r="D12" s="290"/>
      <c r="E12" s="282"/>
      <c r="F12" s="283"/>
      <c r="G12" s="283"/>
      <c r="H12" s="283"/>
      <c r="I12" s="284"/>
      <c r="J12" s="269" t="str">
        <f>IF(AND('Mapa final'!$H$54="Muy Alta",'Mapa final'!$L$54="Leve"),CONCATENATE("R",'Mapa final'!$A$54),"")</f>
        <v/>
      </c>
      <c r="K12" s="270"/>
      <c r="L12" s="270" t="str">
        <f>IF(AND('Mapa final'!$H$60="Muy Alta",'Mapa final'!$L$60="Leve"),CONCATENATE("R",'Mapa final'!$A$60),"")</f>
        <v/>
      </c>
      <c r="M12" s="270"/>
      <c r="N12" s="270" t="str">
        <f>IF(AND('Mapa final'!$H$66="Muy Alta",'Mapa final'!$L$66="Leve"),CONCATENATE("R",'Mapa final'!$A$66),"")</f>
        <v/>
      </c>
      <c r="O12" s="271"/>
      <c r="P12" s="269" t="str">
        <f>IF(AND('Mapa final'!$H$54="Muy Alta",'Mapa final'!$L$54="Menor"),CONCATENATE("R",'Mapa final'!$A$54),"")</f>
        <v/>
      </c>
      <c r="Q12" s="270"/>
      <c r="R12" s="270" t="str">
        <f>IF(AND('Mapa final'!$H$60="Muy Alta",'Mapa final'!$L$60="Menor"),CONCATENATE("R",'Mapa final'!$A$60),"")</f>
        <v/>
      </c>
      <c r="S12" s="270"/>
      <c r="T12" s="270" t="str">
        <f>IF(AND('Mapa final'!$H$66="Muy Alta",'Mapa final'!$L$66="Menor"),CONCATENATE("R",'Mapa final'!$A$66),"")</f>
        <v/>
      </c>
      <c r="U12" s="271"/>
      <c r="V12" s="269" t="str">
        <f>IF(AND('Mapa final'!$H$54="Muy Alta",'Mapa final'!$L$54="Moderado"),CONCATENATE("R",'Mapa final'!$A$54),"")</f>
        <v/>
      </c>
      <c r="W12" s="270"/>
      <c r="X12" s="270" t="str">
        <f>IF(AND('Mapa final'!$H$60="Muy Alta",'Mapa final'!$L$60="Moderado"),CONCATENATE("R",'Mapa final'!$A$60),"")</f>
        <v/>
      </c>
      <c r="Y12" s="270"/>
      <c r="Z12" s="270" t="str">
        <f>IF(AND('Mapa final'!$H$66="Muy Alta",'Mapa final'!$L$66="Moderado"),CONCATENATE("R",'Mapa final'!$A$66),"")</f>
        <v/>
      </c>
      <c r="AA12" s="271"/>
      <c r="AB12" s="269" t="str">
        <f>IF(AND('Mapa final'!$H$54="Muy Alta",'Mapa final'!$L$54="Mayor"),CONCATENATE("R",'Mapa final'!$A$54),"")</f>
        <v/>
      </c>
      <c r="AC12" s="270"/>
      <c r="AD12" s="270" t="str">
        <f>IF(AND('Mapa final'!$H$60="Muy Alta",'Mapa final'!$L$60="Mayor"),CONCATENATE("R",'Mapa final'!$A$60),"")</f>
        <v/>
      </c>
      <c r="AE12" s="270"/>
      <c r="AF12" s="270" t="str">
        <f>IF(AND('Mapa final'!$H$66="Muy Alta",'Mapa final'!$L$66="Mayor"),CONCATENATE("R",'Mapa final'!$A$66),"")</f>
        <v/>
      </c>
      <c r="AG12" s="271"/>
      <c r="AH12" s="260" t="str">
        <f>IF(AND('Mapa final'!$H$54="Muy Alta",'Mapa final'!$L$54="Catastrófico"),CONCATENATE("R",'Mapa final'!$A$54),"")</f>
        <v/>
      </c>
      <c r="AI12" s="261"/>
      <c r="AJ12" s="261" t="str">
        <f>IF(AND('Mapa final'!$H$60="Muy Alta",'Mapa final'!$L$60="Catastrófico"),CONCATENATE("R",'Mapa final'!$A$60),"")</f>
        <v/>
      </c>
      <c r="AK12" s="261"/>
      <c r="AL12" s="261" t="str">
        <f>IF(AND('Mapa final'!$H$66="Muy Alta",'Mapa final'!$L$66="Catastrófico"),CONCATENATE("R",'Mapa final'!$A$66),"")</f>
        <v/>
      </c>
      <c r="AM12" s="262"/>
      <c r="AN12" s="81"/>
      <c r="AO12" s="294"/>
      <c r="AP12" s="295"/>
      <c r="AQ12" s="295"/>
      <c r="AR12" s="295"/>
      <c r="AS12" s="295"/>
      <c r="AT12" s="296"/>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289"/>
      <c r="C13" s="289"/>
      <c r="D13" s="290"/>
      <c r="E13" s="285"/>
      <c r="F13" s="286"/>
      <c r="G13" s="286"/>
      <c r="H13" s="286"/>
      <c r="I13" s="287"/>
      <c r="J13" s="269"/>
      <c r="K13" s="270"/>
      <c r="L13" s="270"/>
      <c r="M13" s="270"/>
      <c r="N13" s="270"/>
      <c r="O13" s="271"/>
      <c r="P13" s="269"/>
      <c r="Q13" s="270"/>
      <c r="R13" s="270"/>
      <c r="S13" s="270"/>
      <c r="T13" s="270"/>
      <c r="U13" s="271"/>
      <c r="V13" s="269"/>
      <c r="W13" s="270"/>
      <c r="X13" s="270"/>
      <c r="Y13" s="270"/>
      <c r="Z13" s="270"/>
      <c r="AA13" s="271"/>
      <c r="AB13" s="269"/>
      <c r="AC13" s="270"/>
      <c r="AD13" s="270"/>
      <c r="AE13" s="270"/>
      <c r="AF13" s="270"/>
      <c r="AG13" s="271"/>
      <c r="AH13" s="263"/>
      <c r="AI13" s="264"/>
      <c r="AJ13" s="264"/>
      <c r="AK13" s="264"/>
      <c r="AL13" s="264"/>
      <c r="AM13" s="265"/>
      <c r="AN13" s="81"/>
      <c r="AO13" s="297"/>
      <c r="AP13" s="298"/>
      <c r="AQ13" s="298"/>
      <c r="AR13" s="298"/>
      <c r="AS13" s="298"/>
      <c r="AT13" s="299"/>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289"/>
      <c r="C14" s="289"/>
      <c r="D14" s="290"/>
      <c r="E14" s="279" t="s">
        <v>115</v>
      </c>
      <c r="F14" s="280"/>
      <c r="G14" s="280"/>
      <c r="H14" s="280"/>
      <c r="I14" s="280"/>
      <c r="J14" s="257" t="str">
        <f>IF(AND('Mapa final'!$H$10="Alta",'Mapa final'!$L$10="Leve"),CONCATENATE("R",'Mapa final'!$A$10),"")</f>
        <v/>
      </c>
      <c r="K14" s="258"/>
      <c r="L14" s="258" t="str">
        <f>IF(AND('Mapa final'!$H$14="Alta",'Mapa final'!$L$14="Leve"),CONCATENATE("R",'Mapa final'!$A$14),"")</f>
        <v/>
      </c>
      <c r="M14" s="258"/>
      <c r="N14" s="258" t="str">
        <f>IF(AND('Mapa final'!$H$18="Alta",'Mapa final'!$L$18="Leve"),CONCATENATE("R",'Mapa final'!$A$18),"")</f>
        <v/>
      </c>
      <c r="O14" s="259"/>
      <c r="P14" s="257" t="str">
        <f>IF(AND('Mapa final'!$H$10="Alta",'Mapa final'!$L$10="Menor"),CONCATENATE("R",'Mapa final'!$A$10),"")</f>
        <v/>
      </c>
      <c r="Q14" s="258"/>
      <c r="R14" s="258" t="str">
        <f>IF(AND('Mapa final'!$H$14="Alta",'Mapa final'!$L$14="Menor"),CONCATENATE("R",'Mapa final'!$A$14),"")</f>
        <v/>
      </c>
      <c r="S14" s="258"/>
      <c r="T14" s="258" t="str">
        <f>IF(AND('Mapa final'!$H$18="Alta",'Mapa final'!$L$18="Menor"),CONCATENATE("R",'Mapa final'!$A$18),"")</f>
        <v/>
      </c>
      <c r="U14" s="259"/>
      <c r="V14" s="275" t="str">
        <f>IF(AND('Mapa final'!$H$10="Alta",'Mapa final'!$L$10="Moderado"),CONCATENATE("R",'Mapa final'!$A$10),"")</f>
        <v/>
      </c>
      <c r="W14" s="276"/>
      <c r="X14" s="276" t="str">
        <f>IF(AND('Mapa final'!$H$14="Alta",'Mapa final'!$L$14="Moderado"),CONCATENATE("R",'Mapa final'!$A$14),"")</f>
        <v/>
      </c>
      <c r="Y14" s="276"/>
      <c r="Z14" s="276" t="str">
        <f>IF(AND('Mapa final'!$H$18="Alta",'Mapa final'!$L$18="Moderado"),CONCATENATE("R",'Mapa final'!$A$18),"")</f>
        <v/>
      </c>
      <c r="AA14" s="277"/>
      <c r="AB14" s="275" t="str">
        <f>IF(AND('Mapa final'!$H$10="Alta",'Mapa final'!$L$10="Mayor"),CONCATENATE("R",'Mapa final'!$A$10),"")</f>
        <v/>
      </c>
      <c r="AC14" s="276"/>
      <c r="AD14" s="276" t="str">
        <f>IF(AND('Mapa final'!$H$14="Alta",'Mapa final'!$L$14="Mayor"),CONCATENATE("R",'Mapa final'!$A$14),"")</f>
        <v/>
      </c>
      <c r="AE14" s="276"/>
      <c r="AF14" s="276" t="str">
        <f>IF(AND('Mapa final'!$H$18="Alta",'Mapa final'!$L$18="Mayor"),CONCATENATE("R",'Mapa final'!$A$18),"")</f>
        <v/>
      </c>
      <c r="AG14" s="277"/>
      <c r="AH14" s="266" t="str">
        <f>IF(AND('Mapa final'!$H$10="Alta",'Mapa final'!$L$10="Catastrófico"),CONCATENATE("R",'Mapa final'!$A$10),"")</f>
        <v/>
      </c>
      <c r="AI14" s="267"/>
      <c r="AJ14" s="267" t="str">
        <f>IF(AND('Mapa final'!$H$14="Alta",'Mapa final'!$L$14="Catastrófico"),CONCATENATE("R",'Mapa final'!$A$14),"")</f>
        <v/>
      </c>
      <c r="AK14" s="267"/>
      <c r="AL14" s="267" t="str">
        <f>IF(AND('Mapa final'!$H$18="Alta",'Mapa final'!$L$18="Catastrófico"),CONCATENATE("R",'Mapa final'!$A$18),"")</f>
        <v/>
      </c>
      <c r="AM14" s="268"/>
      <c r="AN14" s="81"/>
      <c r="AO14" s="300" t="s">
        <v>80</v>
      </c>
      <c r="AP14" s="301"/>
      <c r="AQ14" s="301"/>
      <c r="AR14" s="301"/>
      <c r="AS14" s="301"/>
      <c r="AT14" s="30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289"/>
      <c r="C15" s="289"/>
      <c r="D15" s="290"/>
      <c r="E15" s="282"/>
      <c r="F15" s="283"/>
      <c r="G15" s="283"/>
      <c r="H15" s="283"/>
      <c r="I15" s="283"/>
      <c r="J15" s="251"/>
      <c r="K15" s="252"/>
      <c r="L15" s="252"/>
      <c r="M15" s="252"/>
      <c r="N15" s="252"/>
      <c r="O15" s="253"/>
      <c r="P15" s="251"/>
      <c r="Q15" s="252"/>
      <c r="R15" s="252"/>
      <c r="S15" s="252"/>
      <c r="T15" s="252"/>
      <c r="U15" s="253"/>
      <c r="V15" s="269"/>
      <c r="W15" s="270"/>
      <c r="X15" s="270"/>
      <c r="Y15" s="270"/>
      <c r="Z15" s="270"/>
      <c r="AA15" s="271"/>
      <c r="AB15" s="269"/>
      <c r="AC15" s="270"/>
      <c r="AD15" s="270"/>
      <c r="AE15" s="270"/>
      <c r="AF15" s="270"/>
      <c r="AG15" s="271"/>
      <c r="AH15" s="260"/>
      <c r="AI15" s="261"/>
      <c r="AJ15" s="261"/>
      <c r="AK15" s="261"/>
      <c r="AL15" s="261"/>
      <c r="AM15" s="262"/>
      <c r="AN15" s="81"/>
      <c r="AO15" s="303"/>
      <c r="AP15" s="304"/>
      <c r="AQ15" s="304"/>
      <c r="AR15" s="304"/>
      <c r="AS15" s="304"/>
      <c r="AT15" s="30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289"/>
      <c r="C16" s="289"/>
      <c r="D16" s="290"/>
      <c r="E16" s="282"/>
      <c r="F16" s="283"/>
      <c r="G16" s="283"/>
      <c r="H16" s="283"/>
      <c r="I16" s="283"/>
      <c r="J16" s="251" t="str">
        <f>IF(AND('Mapa final'!$H$20="Alta",'Mapa final'!$L$20="Leve"),CONCATENATE("R",'Mapa final'!$A$20),"")</f>
        <v/>
      </c>
      <c r="K16" s="252"/>
      <c r="L16" s="252" t="str">
        <f>IF(AND('Mapa final'!$H$24="Alta",'Mapa final'!$L$24="Leve"),CONCATENATE("R",'Mapa final'!$A$24),"")</f>
        <v/>
      </c>
      <c r="M16" s="252"/>
      <c r="N16" s="252" t="str">
        <f>IF(AND('Mapa final'!$H$30="Alta",'Mapa final'!$L$30="Leve"),CONCATENATE("R",'Mapa final'!$A$30),"")</f>
        <v/>
      </c>
      <c r="O16" s="253"/>
      <c r="P16" s="251" t="str">
        <f>IF(AND('Mapa final'!$H$20="Alta",'Mapa final'!$L$20="Menor"),CONCATENATE("R",'Mapa final'!$A$20),"")</f>
        <v/>
      </c>
      <c r="Q16" s="252"/>
      <c r="R16" s="252" t="str">
        <f>IF(AND('Mapa final'!$H$24="Alta",'Mapa final'!$L$24="Menor"),CONCATENATE("R",'Mapa final'!$A$24),"")</f>
        <v/>
      </c>
      <c r="S16" s="252"/>
      <c r="T16" s="252" t="str">
        <f>IF(AND('Mapa final'!$H$30="Alta",'Mapa final'!$L$30="Menor"),CONCATENATE("R",'Mapa final'!$A$30),"")</f>
        <v/>
      </c>
      <c r="U16" s="253"/>
      <c r="V16" s="269" t="str">
        <f>IF(AND('Mapa final'!$H$20="Alta",'Mapa final'!$L$20="Moderado"),CONCATENATE("R",'Mapa final'!$A$20),"")</f>
        <v/>
      </c>
      <c r="W16" s="270"/>
      <c r="X16" s="270" t="str">
        <f>IF(AND('Mapa final'!$H$24="Alta",'Mapa final'!$L$24="Moderado"),CONCATENATE("R",'Mapa final'!$A$24),"")</f>
        <v/>
      </c>
      <c r="Y16" s="270"/>
      <c r="Z16" s="270" t="str">
        <f>IF(AND('Mapa final'!$H$30="Alta",'Mapa final'!$L$30="Moderado"),CONCATENATE("R",'Mapa final'!$A$30),"")</f>
        <v/>
      </c>
      <c r="AA16" s="271"/>
      <c r="AB16" s="269" t="str">
        <f>IF(AND('Mapa final'!$H$20="Alta",'Mapa final'!$L$20="Mayor"),CONCATENATE("R",'Mapa final'!$A$20),"")</f>
        <v/>
      </c>
      <c r="AC16" s="270"/>
      <c r="AD16" s="270" t="str">
        <f>IF(AND('Mapa final'!$H$24="Alta",'Mapa final'!$L$24="Mayor"),CONCATENATE("R",'Mapa final'!$A$24),"")</f>
        <v/>
      </c>
      <c r="AE16" s="270"/>
      <c r="AF16" s="270" t="str">
        <f>IF(AND('Mapa final'!$H$30="Alta",'Mapa final'!$L$30="Mayor"),CONCATENATE("R",'Mapa final'!$A$30),"")</f>
        <v/>
      </c>
      <c r="AG16" s="271"/>
      <c r="AH16" s="260" t="str">
        <f>IF(AND('Mapa final'!$H$20="Alta",'Mapa final'!$L$20="Catastrófico"),CONCATENATE("R",'Mapa final'!$A$20),"")</f>
        <v/>
      </c>
      <c r="AI16" s="261"/>
      <c r="AJ16" s="261" t="str">
        <f>IF(AND('Mapa final'!$H$24="Alta",'Mapa final'!$L$24="Catastrófico"),CONCATENATE("R",'Mapa final'!$A$24),"")</f>
        <v/>
      </c>
      <c r="AK16" s="261"/>
      <c r="AL16" s="261" t="str">
        <f>IF(AND('Mapa final'!$H$30="Alta",'Mapa final'!$L$30="Catastrófico"),CONCATENATE("R",'Mapa final'!$A$30),"")</f>
        <v/>
      </c>
      <c r="AM16" s="262"/>
      <c r="AN16" s="81"/>
      <c r="AO16" s="303"/>
      <c r="AP16" s="304"/>
      <c r="AQ16" s="304"/>
      <c r="AR16" s="304"/>
      <c r="AS16" s="304"/>
      <c r="AT16" s="305"/>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289"/>
      <c r="C17" s="289"/>
      <c r="D17" s="290"/>
      <c r="E17" s="282"/>
      <c r="F17" s="283"/>
      <c r="G17" s="283"/>
      <c r="H17" s="283"/>
      <c r="I17" s="283"/>
      <c r="J17" s="251"/>
      <c r="K17" s="252"/>
      <c r="L17" s="252"/>
      <c r="M17" s="252"/>
      <c r="N17" s="252"/>
      <c r="O17" s="253"/>
      <c r="P17" s="251"/>
      <c r="Q17" s="252"/>
      <c r="R17" s="252"/>
      <c r="S17" s="252"/>
      <c r="T17" s="252"/>
      <c r="U17" s="253"/>
      <c r="V17" s="269"/>
      <c r="W17" s="270"/>
      <c r="X17" s="270"/>
      <c r="Y17" s="270"/>
      <c r="Z17" s="270"/>
      <c r="AA17" s="271"/>
      <c r="AB17" s="269"/>
      <c r="AC17" s="270"/>
      <c r="AD17" s="270"/>
      <c r="AE17" s="270"/>
      <c r="AF17" s="270"/>
      <c r="AG17" s="271"/>
      <c r="AH17" s="260"/>
      <c r="AI17" s="261"/>
      <c r="AJ17" s="261"/>
      <c r="AK17" s="261"/>
      <c r="AL17" s="261"/>
      <c r="AM17" s="262"/>
      <c r="AN17" s="81"/>
      <c r="AO17" s="303"/>
      <c r="AP17" s="304"/>
      <c r="AQ17" s="304"/>
      <c r="AR17" s="304"/>
      <c r="AS17" s="304"/>
      <c r="AT17" s="305"/>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289"/>
      <c r="C18" s="289"/>
      <c r="D18" s="290"/>
      <c r="E18" s="282"/>
      <c r="F18" s="283"/>
      <c r="G18" s="283"/>
      <c r="H18" s="283"/>
      <c r="I18" s="283"/>
      <c r="J18" s="251" t="str">
        <f>IF(AND('Mapa final'!$H$36="Alta",'Mapa final'!$L$36="Leve"),CONCATENATE("R",'Mapa final'!$A$36),"")</f>
        <v/>
      </c>
      <c r="K18" s="252"/>
      <c r="L18" s="252" t="str">
        <f>IF(AND('Mapa final'!$H$42="Alta",'Mapa final'!$L$42="Leve"),CONCATENATE("R",'Mapa final'!$A$42),"")</f>
        <v/>
      </c>
      <c r="M18" s="252"/>
      <c r="N18" s="252" t="str">
        <f>IF(AND('Mapa final'!$H$48="Alta",'Mapa final'!$L$48="Leve"),CONCATENATE("R",'Mapa final'!$A$48),"")</f>
        <v/>
      </c>
      <c r="O18" s="253"/>
      <c r="P18" s="251" t="str">
        <f>IF(AND('Mapa final'!$H$36="Alta",'Mapa final'!$L$36="Menor"),CONCATENATE("R",'Mapa final'!$A$36),"")</f>
        <v/>
      </c>
      <c r="Q18" s="252"/>
      <c r="R18" s="252" t="str">
        <f>IF(AND('Mapa final'!$H$42="Alta",'Mapa final'!$L$42="Menor"),CONCATENATE("R",'Mapa final'!$A$42),"")</f>
        <v/>
      </c>
      <c r="S18" s="252"/>
      <c r="T18" s="252" t="str">
        <f>IF(AND('Mapa final'!$H$48="Alta",'Mapa final'!$L$48="Menor"),CONCATENATE("R",'Mapa final'!$A$48),"")</f>
        <v/>
      </c>
      <c r="U18" s="253"/>
      <c r="V18" s="269" t="str">
        <f>IF(AND('Mapa final'!$H$36="Alta",'Mapa final'!$L$36="Moderado"),CONCATENATE("R",'Mapa final'!$A$36),"")</f>
        <v/>
      </c>
      <c r="W18" s="270"/>
      <c r="X18" s="270" t="str">
        <f>IF(AND('Mapa final'!$H$42="Alta",'Mapa final'!$L$42="Moderado"),CONCATENATE("R",'Mapa final'!$A$42),"")</f>
        <v/>
      </c>
      <c r="Y18" s="270"/>
      <c r="Z18" s="270" t="str">
        <f>IF(AND('Mapa final'!$H$48="Alta",'Mapa final'!$L$48="Moderado"),CONCATENATE("R",'Mapa final'!$A$48),"")</f>
        <v/>
      </c>
      <c r="AA18" s="271"/>
      <c r="AB18" s="269" t="str">
        <f>IF(AND('Mapa final'!$H$36="Alta",'Mapa final'!$L$36="Mayor"),CONCATENATE("R",'Mapa final'!$A$36),"")</f>
        <v/>
      </c>
      <c r="AC18" s="270"/>
      <c r="AD18" s="270" t="str">
        <f>IF(AND('Mapa final'!$H$42="Alta",'Mapa final'!$L$42="Mayor"),CONCATENATE("R",'Mapa final'!$A$42),"")</f>
        <v/>
      </c>
      <c r="AE18" s="270"/>
      <c r="AF18" s="270" t="str">
        <f>IF(AND('Mapa final'!$H$48="Alta",'Mapa final'!$L$48="Mayor"),CONCATENATE("R",'Mapa final'!$A$48),"")</f>
        <v/>
      </c>
      <c r="AG18" s="271"/>
      <c r="AH18" s="260" t="str">
        <f>IF(AND('Mapa final'!$H$36="Alta",'Mapa final'!$L$36="Catastrófico"),CONCATENATE("R",'Mapa final'!$A$36),"")</f>
        <v/>
      </c>
      <c r="AI18" s="261"/>
      <c r="AJ18" s="261" t="str">
        <f>IF(AND('Mapa final'!$H$42="Alta",'Mapa final'!$L$42="Catastrófico"),CONCATENATE("R",'Mapa final'!$A$42),"")</f>
        <v/>
      </c>
      <c r="AK18" s="261"/>
      <c r="AL18" s="261" t="str">
        <f>IF(AND('Mapa final'!$H$48="Alta",'Mapa final'!$L$48="Catastrófico"),CONCATENATE("R",'Mapa final'!$A$48),"")</f>
        <v/>
      </c>
      <c r="AM18" s="262"/>
      <c r="AN18" s="81"/>
      <c r="AO18" s="303"/>
      <c r="AP18" s="304"/>
      <c r="AQ18" s="304"/>
      <c r="AR18" s="304"/>
      <c r="AS18" s="304"/>
      <c r="AT18" s="305"/>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289"/>
      <c r="C19" s="289"/>
      <c r="D19" s="290"/>
      <c r="E19" s="282"/>
      <c r="F19" s="283"/>
      <c r="G19" s="283"/>
      <c r="H19" s="283"/>
      <c r="I19" s="283"/>
      <c r="J19" s="251"/>
      <c r="K19" s="252"/>
      <c r="L19" s="252"/>
      <c r="M19" s="252"/>
      <c r="N19" s="252"/>
      <c r="O19" s="253"/>
      <c r="P19" s="251"/>
      <c r="Q19" s="252"/>
      <c r="R19" s="252"/>
      <c r="S19" s="252"/>
      <c r="T19" s="252"/>
      <c r="U19" s="253"/>
      <c r="V19" s="269"/>
      <c r="W19" s="270"/>
      <c r="X19" s="270"/>
      <c r="Y19" s="270"/>
      <c r="Z19" s="270"/>
      <c r="AA19" s="271"/>
      <c r="AB19" s="269"/>
      <c r="AC19" s="270"/>
      <c r="AD19" s="270"/>
      <c r="AE19" s="270"/>
      <c r="AF19" s="270"/>
      <c r="AG19" s="271"/>
      <c r="AH19" s="260"/>
      <c r="AI19" s="261"/>
      <c r="AJ19" s="261"/>
      <c r="AK19" s="261"/>
      <c r="AL19" s="261"/>
      <c r="AM19" s="262"/>
      <c r="AN19" s="81"/>
      <c r="AO19" s="303"/>
      <c r="AP19" s="304"/>
      <c r="AQ19" s="304"/>
      <c r="AR19" s="304"/>
      <c r="AS19" s="304"/>
      <c r="AT19" s="305"/>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289"/>
      <c r="C20" s="289"/>
      <c r="D20" s="290"/>
      <c r="E20" s="282"/>
      <c r="F20" s="283"/>
      <c r="G20" s="283"/>
      <c r="H20" s="283"/>
      <c r="I20" s="283"/>
      <c r="J20" s="251" t="str">
        <f>IF(AND('Mapa final'!$H$54="Alta",'Mapa final'!$L$54="Leve"),CONCATENATE("R",'Mapa final'!$A$54),"")</f>
        <v/>
      </c>
      <c r="K20" s="252"/>
      <c r="L20" s="252" t="str">
        <f>IF(AND('Mapa final'!$H$60="Alta",'Mapa final'!$L$60="Leve"),CONCATENATE("R",'Mapa final'!$A$60),"")</f>
        <v/>
      </c>
      <c r="M20" s="252"/>
      <c r="N20" s="252" t="str">
        <f>IF(AND('Mapa final'!$H$66="Alta",'Mapa final'!$L$66="Leve"),CONCATENATE("R",'Mapa final'!$A$66),"")</f>
        <v/>
      </c>
      <c r="O20" s="253"/>
      <c r="P20" s="251" t="str">
        <f>IF(AND('Mapa final'!$H$54="Alta",'Mapa final'!$L$54="Menor"),CONCATENATE("R",'Mapa final'!$A$54),"")</f>
        <v/>
      </c>
      <c r="Q20" s="252"/>
      <c r="R20" s="252" t="str">
        <f>IF(AND('Mapa final'!$H$60="Alta",'Mapa final'!$L$60="Menor"),CONCATENATE("R",'Mapa final'!$A$60),"")</f>
        <v/>
      </c>
      <c r="S20" s="252"/>
      <c r="T20" s="252" t="str">
        <f>IF(AND('Mapa final'!$H$66="Alta",'Mapa final'!$L$66="Menor"),CONCATENATE("R",'Mapa final'!$A$66),"")</f>
        <v/>
      </c>
      <c r="U20" s="253"/>
      <c r="V20" s="269" t="str">
        <f>IF(AND('Mapa final'!$H$54="Alta",'Mapa final'!$L$54="Moderado"),CONCATENATE("R",'Mapa final'!$A$54),"")</f>
        <v/>
      </c>
      <c r="W20" s="270"/>
      <c r="X20" s="270" t="str">
        <f>IF(AND('Mapa final'!$H$60="Alta",'Mapa final'!$L$60="Moderado"),CONCATENATE("R",'Mapa final'!$A$60),"")</f>
        <v/>
      </c>
      <c r="Y20" s="270"/>
      <c r="Z20" s="270" t="str">
        <f>IF(AND('Mapa final'!$H$66="Alta",'Mapa final'!$L$66="Moderado"),CONCATENATE("R",'Mapa final'!$A$66),"")</f>
        <v/>
      </c>
      <c r="AA20" s="271"/>
      <c r="AB20" s="269" t="str">
        <f>IF(AND('Mapa final'!$H$54="Alta",'Mapa final'!$L$54="Mayor"),CONCATENATE("R",'Mapa final'!$A$54),"")</f>
        <v/>
      </c>
      <c r="AC20" s="270"/>
      <c r="AD20" s="270" t="str">
        <f>IF(AND('Mapa final'!$H$60="Alta",'Mapa final'!$L$60="Mayor"),CONCATENATE("R",'Mapa final'!$A$60),"")</f>
        <v/>
      </c>
      <c r="AE20" s="270"/>
      <c r="AF20" s="270" t="str">
        <f>IF(AND('Mapa final'!$H$66="Alta",'Mapa final'!$L$66="Mayor"),CONCATENATE("R",'Mapa final'!$A$66),"")</f>
        <v/>
      </c>
      <c r="AG20" s="271"/>
      <c r="AH20" s="260" t="str">
        <f>IF(AND('Mapa final'!$H$54="Alta",'Mapa final'!$L$54="Catastrófico"),CONCATENATE("R",'Mapa final'!$A$54),"")</f>
        <v/>
      </c>
      <c r="AI20" s="261"/>
      <c r="AJ20" s="261" t="str">
        <f>IF(AND('Mapa final'!$H$60="Alta",'Mapa final'!$L$60="Catastrófico"),CONCATENATE("R",'Mapa final'!$A$60),"")</f>
        <v/>
      </c>
      <c r="AK20" s="261"/>
      <c r="AL20" s="261" t="str">
        <f>IF(AND('Mapa final'!$H$66="Alta",'Mapa final'!$L$66="Catastrófico"),CONCATENATE("R",'Mapa final'!$A$66),"")</f>
        <v/>
      </c>
      <c r="AM20" s="262"/>
      <c r="AN20" s="81"/>
      <c r="AO20" s="303"/>
      <c r="AP20" s="304"/>
      <c r="AQ20" s="304"/>
      <c r="AR20" s="304"/>
      <c r="AS20" s="304"/>
      <c r="AT20" s="305"/>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289"/>
      <c r="C21" s="289"/>
      <c r="D21" s="290"/>
      <c r="E21" s="285"/>
      <c r="F21" s="286"/>
      <c r="G21" s="286"/>
      <c r="H21" s="286"/>
      <c r="I21" s="286"/>
      <c r="J21" s="254"/>
      <c r="K21" s="255"/>
      <c r="L21" s="255"/>
      <c r="M21" s="255"/>
      <c r="N21" s="255"/>
      <c r="O21" s="256"/>
      <c r="P21" s="254"/>
      <c r="Q21" s="255"/>
      <c r="R21" s="255"/>
      <c r="S21" s="255"/>
      <c r="T21" s="255"/>
      <c r="U21" s="256"/>
      <c r="V21" s="272"/>
      <c r="W21" s="273"/>
      <c r="X21" s="273"/>
      <c r="Y21" s="273"/>
      <c r="Z21" s="273"/>
      <c r="AA21" s="274"/>
      <c r="AB21" s="272"/>
      <c r="AC21" s="273"/>
      <c r="AD21" s="273"/>
      <c r="AE21" s="273"/>
      <c r="AF21" s="273"/>
      <c r="AG21" s="274"/>
      <c r="AH21" s="263"/>
      <c r="AI21" s="264"/>
      <c r="AJ21" s="264"/>
      <c r="AK21" s="264"/>
      <c r="AL21" s="264"/>
      <c r="AM21" s="265"/>
      <c r="AN21" s="81"/>
      <c r="AO21" s="306"/>
      <c r="AP21" s="307"/>
      <c r="AQ21" s="307"/>
      <c r="AR21" s="307"/>
      <c r="AS21" s="307"/>
      <c r="AT21" s="308"/>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289"/>
      <c r="C22" s="289"/>
      <c r="D22" s="290"/>
      <c r="E22" s="279" t="s">
        <v>117</v>
      </c>
      <c r="F22" s="280"/>
      <c r="G22" s="280"/>
      <c r="H22" s="280"/>
      <c r="I22" s="281"/>
      <c r="J22" s="257" t="str">
        <f>IF(AND('Mapa final'!$H$10="Media",'Mapa final'!$L$10="Leve"),CONCATENATE("R",'Mapa final'!$A$10),"")</f>
        <v/>
      </c>
      <c r="K22" s="258"/>
      <c r="L22" s="258" t="str">
        <f>IF(AND('Mapa final'!$H$14="Media",'Mapa final'!$L$14="Leve"),CONCATENATE("R",'Mapa final'!$A$14),"")</f>
        <v/>
      </c>
      <c r="M22" s="258"/>
      <c r="N22" s="258" t="str">
        <f>IF(AND('Mapa final'!$H$18="Media",'Mapa final'!$L$18="Leve"),CONCATENATE("R",'Mapa final'!$A$18),"")</f>
        <v/>
      </c>
      <c r="O22" s="259"/>
      <c r="P22" s="257" t="str">
        <f>IF(AND('Mapa final'!$H$10="Media",'Mapa final'!$L$10="Menor"),CONCATENATE("R",'Mapa final'!$A$10),"")</f>
        <v/>
      </c>
      <c r="Q22" s="258"/>
      <c r="R22" s="258" t="str">
        <f>IF(AND('Mapa final'!$H$14="Media",'Mapa final'!$L$14="Menor"),CONCATENATE("R",'Mapa final'!$A$14),"")</f>
        <v/>
      </c>
      <c r="S22" s="258"/>
      <c r="T22" s="258" t="str">
        <f>IF(AND('Mapa final'!$H$18="Media",'Mapa final'!$L$18="Menor"),CONCATENATE("R",'Mapa final'!$A$18),"")</f>
        <v/>
      </c>
      <c r="U22" s="259"/>
      <c r="V22" s="257" t="str">
        <f>IF(AND('Mapa final'!$H$10="Media",'Mapa final'!$L$10="Moderado"),CONCATENATE("R",'Mapa final'!$A$10),"")</f>
        <v>R1</v>
      </c>
      <c r="W22" s="258"/>
      <c r="X22" s="258" t="str">
        <f>IF(AND('Mapa final'!$H$14="Media",'Mapa final'!$L$14="Moderado"),CONCATENATE("R",'Mapa final'!$A$14),"")</f>
        <v>R2</v>
      </c>
      <c r="Y22" s="258"/>
      <c r="Z22" s="258" t="str">
        <f>IF(AND('Mapa final'!$H$18="Media",'Mapa final'!$L$18="Moderado"),CONCATENATE("R",'Mapa final'!$A$18),"")</f>
        <v>R3</v>
      </c>
      <c r="AA22" s="259"/>
      <c r="AB22" s="275" t="str">
        <f>IF(AND('Mapa final'!$H$10="Media",'Mapa final'!$L$10="Mayor"),CONCATENATE("R",'Mapa final'!$A$10),"")</f>
        <v/>
      </c>
      <c r="AC22" s="276"/>
      <c r="AD22" s="276" t="str">
        <f>IF(AND('Mapa final'!$H$14="Media",'Mapa final'!$L$14="Mayor"),CONCATENATE("R",'Mapa final'!$A$14),"")</f>
        <v/>
      </c>
      <c r="AE22" s="276"/>
      <c r="AF22" s="276" t="str">
        <f>IF(AND('Mapa final'!$H$18="Media",'Mapa final'!$L$18="Mayor"),CONCATENATE("R",'Mapa final'!$A$18),"")</f>
        <v/>
      </c>
      <c r="AG22" s="277"/>
      <c r="AH22" s="266" t="str">
        <f>IF(AND('Mapa final'!$H$10="Media",'Mapa final'!$L$10="Catastrófico"),CONCATENATE("R",'Mapa final'!$A$10),"")</f>
        <v/>
      </c>
      <c r="AI22" s="267"/>
      <c r="AJ22" s="267" t="str">
        <f>IF(AND('Mapa final'!$H$14="Media",'Mapa final'!$L$14="Catastrófico"),CONCATENATE("R",'Mapa final'!$A$14),"")</f>
        <v/>
      </c>
      <c r="AK22" s="267"/>
      <c r="AL22" s="267" t="str">
        <f>IF(AND('Mapa final'!$H$18="Media",'Mapa final'!$L$18="Catastrófico"),CONCATENATE("R",'Mapa final'!$A$18),"")</f>
        <v/>
      </c>
      <c r="AM22" s="268"/>
      <c r="AN22" s="81"/>
      <c r="AO22" s="309" t="s">
        <v>81</v>
      </c>
      <c r="AP22" s="310"/>
      <c r="AQ22" s="310"/>
      <c r="AR22" s="310"/>
      <c r="AS22" s="310"/>
      <c r="AT22" s="31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289"/>
      <c r="C23" s="289"/>
      <c r="D23" s="290"/>
      <c r="E23" s="282"/>
      <c r="F23" s="283"/>
      <c r="G23" s="283"/>
      <c r="H23" s="283"/>
      <c r="I23" s="284"/>
      <c r="J23" s="251"/>
      <c r="K23" s="252"/>
      <c r="L23" s="252"/>
      <c r="M23" s="252"/>
      <c r="N23" s="252"/>
      <c r="O23" s="253"/>
      <c r="P23" s="251"/>
      <c r="Q23" s="252"/>
      <c r="R23" s="252"/>
      <c r="S23" s="252"/>
      <c r="T23" s="252"/>
      <c r="U23" s="253"/>
      <c r="V23" s="251"/>
      <c r="W23" s="252"/>
      <c r="X23" s="252"/>
      <c r="Y23" s="252"/>
      <c r="Z23" s="252"/>
      <c r="AA23" s="253"/>
      <c r="AB23" s="269"/>
      <c r="AC23" s="270"/>
      <c r="AD23" s="270"/>
      <c r="AE23" s="270"/>
      <c r="AF23" s="270"/>
      <c r="AG23" s="271"/>
      <c r="AH23" s="260"/>
      <c r="AI23" s="261"/>
      <c r="AJ23" s="261"/>
      <c r="AK23" s="261"/>
      <c r="AL23" s="261"/>
      <c r="AM23" s="262"/>
      <c r="AN23" s="81"/>
      <c r="AO23" s="312"/>
      <c r="AP23" s="313"/>
      <c r="AQ23" s="313"/>
      <c r="AR23" s="313"/>
      <c r="AS23" s="313"/>
      <c r="AT23" s="314"/>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289"/>
      <c r="C24" s="289"/>
      <c r="D24" s="290"/>
      <c r="E24" s="282"/>
      <c r="F24" s="283"/>
      <c r="G24" s="283"/>
      <c r="H24" s="283"/>
      <c r="I24" s="284"/>
      <c r="J24" s="251" t="str">
        <f>IF(AND('Mapa final'!$H$20="Media",'Mapa final'!$L$20="Leve"),CONCATENATE("R",'Mapa final'!$A$20),"")</f>
        <v/>
      </c>
      <c r="K24" s="252"/>
      <c r="L24" s="252" t="str">
        <f>IF(AND('Mapa final'!$H$24="Media",'Mapa final'!$L$24="Leve"),CONCATENATE("R",'Mapa final'!$A$24),"")</f>
        <v/>
      </c>
      <c r="M24" s="252"/>
      <c r="N24" s="252" t="str">
        <f>IF(AND('Mapa final'!$H$30="Media",'Mapa final'!$L$30="Leve"),CONCATENATE("R",'Mapa final'!$A$30),"")</f>
        <v/>
      </c>
      <c r="O24" s="253"/>
      <c r="P24" s="251" t="str">
        <f>IF(AND('Mapa final'!$H$20="Media",'Mapa final'!$L$20="Menor"),CONCATENATE("R",'Mapa final'!$A$20),"")</f>
        <v/>
      </c>
      <c r="Q24" s="252"/>
      <c r="R24" s="252" t="str">
        <f>IF(AND('Mapa final'!$H$24="Media",'Mapa final'!$L$24="Menor"),CONCATENATE("R",'Mapa final'!$A$24),"")</f>
        <v/>
      </c>
      <c r="S24" s="252"/>
      <c r="T24" s="252" t="str">
        <f>IF(AND('Mapa final'!$H$30="Media",'Mapa final'!$L$30="Menor"),CONCATENATE("R",'Mapa final'!$A$30),"")</f>
        <v/>
      </c>
      <c r="U24" s="253"/>
      <c r="V24" s="251" t="str">
        <f>IF(AND('Mapa final'!$H$20="Media",'Mapa final'!$L$20="Moderado"),CONCATENATE("R",'Mapa final'!$A$20),"")</f>
        <v>R4</v>
      </c>
      <c r="W24" s="252"/>
      <c r="X24" s="252" t="str">
        <f>IF(AND('Mapa final'!$H$24="Media",'Mapa final'!$L$24="Moderado"),CONCATENATE("R",'Mapa final'!$A$24),"")</f>
        <v/>
      </c>
      <c r="Y24" s="252"/>
      <c r="Z24" s="252" t="str">
        <f>IF(AND('Mapa final'!$H$30="Media",'Mapa final'!$L$30="Moderado"),CONCATENATE("R",'Mapa final'!$A$30),"")</f>
        <v/>
      </c>
      <c r="AA24" s="253"/>
      <c r="AB24" s="269" t="str">
        <f>IF(AND('Mapa final'!$H$20="Media",'Mapa final'!$L$20="Mayor"),CONCATENATE("R",'Mapa final'!$A$20),"")</f>
        <v/>
      </c>
      <c r="AC24" s="270"/>
      <c r="AD24" s="270" t="str">
        <f>IF(AND('Mapa final'!$H$24="Media",'Mapa final'!$L$24="Mayor"),CONCATENATE("R",'Mapa final'!$A$24),"")</f>
        <v/>
      </c>
      <c r="AE24" s="270"/>
      <c r="AF24" s="270" t="str">
        <f>IF(AND('Mapa final'!$H$30="Media",'Mapa final'!$L$30="Mayor"),CONCATENATE("R",'Mapa final'!$A$30),"")</f>
        <v/>
      </c>
      <c r="AG24" s="271"/>
      <c r="AH24" s="260" t="str">
        <f>IF(AND('Mapa final'!$H$20="Media",'Mapa final'!$L$20="Catastrófico"),CONCATENATE("R",'Mapa final'!$A$20),"")</f>
        <v/>
      </c>
      <c r="AI24" s="261"/>
      <c r="AJ24" s="261" t="str">
        <f>IF(AND('Mapa final'!$H$24="Media",'Mapa final'!$L$24="Catastrófico"),CONCATENATE("R",'Mapa final'!$A$24),"")</f>
        <v/>
      </c>
      <c r="AK24" s="261"/>
      <c r="AL24" s="261" t="str">
        <f>IF(AND('Mapa final'!$H$30="Media",'Mapa final'!$L$30="Catastrófico"),CONCATENATE("R",'Mapa final'!$A$30),"")</f>
        <v/>
      </c>
      <c r="AM24" s="262"/>
      <c r="AN24" s="81"/>
      <c r="AO24" s="312"/>
      <c r="AP24" s="313"/>
      <c r="AQ24" s="313"/>
      <c r="AR24" s="313"/>
      <c r="AS24" s="313"/>
      <c r="AT24" s="314"/>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289"/>
      <c r="C25" s="289"/>
      <c r="D25" s="290"/>
      <c r="E25" s="282"/>
      <c r="F25" s="283"/>
      <c r="G25" s="283"/>
      <c r="H25" s="283"/>
      <c r="I25" s="284"/>
      <c r="J25" s="251"/>
      <c r="K25" s="252"/>
      <c r="L25" s="252"/>
      <c r="M25" s="252"/>
      <c r="N25" s="252"/>
      <c r="O25" s="253"/>
      <c r="P25" s="251"/>
      <c r="Q25" s="252"/>
      <c r="R25" s="252"/>
      <c r="S25" s="252"/>
      <c r="T25" s="252"/>
      <c r="U25" s="253"/>
      <c r="V25" s="251"/>
      <c r="W25" s="252"/>
      <c r="X25" s="252"/>
      <c r="Y25" s="252"/>
      <c r="Z25" s="252"/>
      <c r="AA25" s="253"/>
      <c r="AB25" s="269"/>
      <c r="AC25" s="270"/>
      <c r="AD25" s="270"/>
      <c r="AE25" s="270"/>
      <c r="AF25" s="270"/>
      <c r="AG25" s="271"/>
      <c r="AH25" s="260"/>
      <c r="AI25" s="261"/>
      <c r="AJ25" s="261"/>
      <c r="AK25" s="261"/>
      <c r="AL25" s="261"/>
      <c r="AM25" s="262"/>
      <c r="AN25" s="81"/>
      <c r="AO25" s="312"/>
      <c r="AP25" s="313"/>
      <c r="AQ25" s="313"/>
      <c r="AR25" s="313"/>
      <c r="AS25" s="313"/>
      <c r="AT25" s="314"/>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289"/>
      <c r="C26" s="289"/>
      <c r="D26" s="290"/>
      <c r="E26" s="282"/>
      <c r="F26" s="283"/>
      <c r="G26" s="283"/>
      <c r="H26" s="283"/>
      <c r="I26" s="284"/>
      <c r="J26" s="251" t="str">
        <f>IF(AND('Mapa final'!$H$36="Media",'Mapa final'!$L$36="Leve"),CONCATENATE("R",'Mapa final'!$A$36),"")</f>
        <v/>
      </c>
      <c r="K26" s="252"/>
      <c r="L26" s="252" t="str">
        <f>IF(AND('Mapa final'!$H$42="Media",'Mapa final'!$L$42="Leve"),CONCATENATE("R",'Mapa final'!$A$42),"")</f>
        <v/>
      </c>
      <c r="M26" s="252"/>
      <c r="N26" s="252" t="str">
        <f>IF(AND('Mapa final'!$H$48="Media",'Mapa final'!$L$48="Leve"),CONCATENATE("R",'Mapa final'!$A$48),"")</f>
        <v/>
      </c>
      <c r="O26" s="253"/>
      <c r="P26" s="251" t="str">
        <f>IF(AND('Mapa final'!$H$36="Media",'Mapa final'!$L$36="Menor"),CONCATENATE("R",'Mapa final'!$A$36),"")</f>
        <v/>
      </c>
      <c r="Q26" s="252"/>
      <c r="R26" s="252" t="str">
        <f>IF(AND('Mapa final'!$H$42="Media",'Mapa final'!$L$42="Menor"),CONCATENATE("R",'Mapa final'!$A$42),"")</f>
        <v/>
      </c>
      <c r="S26" s="252"/>
      <c r="T26" s="252" t="str">
        <f>IF(AND('Mapa final'!$H$48="Media",'Mapa final'!$L$48="Menor"),CONCATENATE("R",'Mapa final'!$A$48),"")</f>
        <v/>
      </c>
      <c r="U26" s="253"/>
      <c r="V26" s="251" t="str">
        <f>IF(AND('Mapa final'!$H$36="Media",'Mapa final'!$L$36="Moderado"),CONCATENATE("R",'Mapa final'!$A$36),"")</f>
        <v/>
      </c>
      <c r="W26" s="252"/>
      <c r="X26" s="252" t="str">
        <f>IF(AND('Mapa final'!$H$42="Media",'Mapa final'!$L$42="Moderado"),CONCATENATE("R",'Mapa final'!$A$42),"")</f>
        <v/>
      </c>
      <c r="Y26" s="252"/>
      <c r="Z26" s="252" t="str">
        <f>IF(AND('Mapa final'!$H$48="Media",'Mapa final'!$L$48="Moderado"),CONCATENATE("R",'Mapa final'!$A$48),"")</f>
        <v/>
      </c>
      <c r="AA26" s="253"/>
      <c r="AB26" s="269" t="str">
        <f>IF(AND('Mapa final'!$H$36="Media",'Mapa final'!$L$36="Mayor"),CONCATENATE("R",'Mapa final'!$A$36),"")</f>
        <v/>
      </c>
      <c r="AC26" s="270"/>
      <c r="AD26" s="270" t="str">
        <f>IF(AND('Mapa final'!$H$42="Media",'Mapa final'!$L$42="Mayor"),CONCATENATE("R",'Mapa final'!$A$42),"")</f>
        <v/>
      </c>
      <c r="AE26" s="270"/>
      <c r="AF26" s="270" t="str">
        <f>IF(AND('Mapa final'!$H$48="Media",'Mapa final'!$L$48="Mayor"),CONCATENATE("R",'Mapa final'!$A$48),"")</f>
        <v/>
      </c>
      <c r="AG26" s="271"/>
      <c r="AH26" s="260" t="str">
        <f>IF(AND('Mapa final'!$H$36="Media",'Mapa final'!$L$36="Catastrófico"),CONCATENATE("R",'Mapa final'!$A$36),"")</f>
        <v/>
      </c>
      <c r="AI26" s="261"/>
      <c r="AJ26" s="261" t="str">
        <f>IF(AND('Mapa final'!$H$42="Media",'Mapa final'!$L$42="Catastrófico"),CONCATENATE("R",'Mapa final'!$A$42),"")</f>
        <v/>
      </c>
      <c r="AK26" s="261"/>
      <c r="AL26" s="261" t="str">
        <f>IF(AND('Mapa final'!$H$48="Media",'Mapa final'!$L$48="Catastrófico"),CONCATENATE("R",'Mapa final'!$A$48),"")</f>
        <v/>
      </c>
      <c r="AM26" s="262"/>
      <c r="AN26" s="81"/>
      <c r="AO26" s="312"/>
      <c r="AP26" s="313"/>
      <c r="AQ26" s="313"/>
      <c r="AR26" s="313"/>
      <c r="AS26" s="313"/>
      <c r="AT26" s="314"/>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289"/>
      <c r="C27" s="289"/>
      <c r="D27" s="290"/>
      <c r="E27" s="282"/>
      <c r="F27" s="283"/>
      <c r="G27" s="283"/>
      <c r="H27" s="283"/>
      <c r="I27" s="284"/>
      <c r="J27" s="251"/>
      <c r="K27" s="252"/>
      <c r="L27" s="252"/>
      <c r="M27" s="252"/>
      <c r="N27" s="252"/>
      <c r="O27" s="253"/>
      <c r="P27" s="251"/>
      <c r="Q27" s="252"/>
      <c r="R27" s="252"/>
      <c r="S27" s="252"/>
      <c r="T27" s="252"/>
      <c r="U27" s="253"/>
      <c r="V27" s="251"/>
      <c r="W27" s="252"/>
      <c r="X27" s="252"/>
      <c r="Y27" s="252"/>
      <c r="Z27" s="252"/>
      <c r="AA27" s="253"/>
      <c r="AB27" s="269"/>
      <c r="AC27" s="270"/>
      <c r="AD27" s="270"/>
      <c r="AE27" s="270"/>
      <c r="AF27" s="270"/>
      <c r="AG27" s="271"/>
      <c r="AH27" s="260"/>
      <c r="AI27" s="261"/>
      <c r="AJ27" s="261"/>
      <c r="AK27" s="261"/>
      <c r="AL27" s="261"/>
      <c r="AM27" s="262"/>
      <c r="AN27" s="81"/>
      <c r="AO27" s="312"/>
      <c r="AP27" s="313"/>
      <c r="AQ27" s="313"/>
      <c r="AR27" s="313"/>
      <c r="AS27" s="313"/>
      <c r="AT27" s="314"/>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289"/>
      <c r="C28" s="289"/>
      <c r="D28" s="290"/>
      <c r="E28" s="282"/>
      <c r="F28" s="283"/>
      <c r="G28" s="283"/>
      <c r="H28" s="283"/>
      <c r="I28" s="284"/>
      <c r="J28" s="251" t="str">
        <f>IF(AND('Mapa final'!$H$54="Media",'Mapa final'!$L$54="Leve"),CONCATENATE("R",'Mapa final'!$A$54),"")</f>
        <v/>
      </c>
      <c r="K28" s="252"/>
      <c r="L28" s="252" t="str">
        <f>IF(AND('Mapa final'!$H$60="Media",'Mapa final'!$L$60="Leve"),CONCATENATE("R",'Mapa final'!$A$60),"")</f>
        <v/>
      </c>
      <c r="M28" s="252"/>
      <c r="N28" s="252" t="str">
        <f>IF(AND('Mapa final'!$H$66="Media",'Mapa final'!$L$66="Leve"),CONCATENATE("R",'Mapa final'!$A$66),"")</f>
        <v/>
      </c>
      <c r="O28" s="253"/>
      <c r="P28" s="251" t="str">
        <f>IF(AND('Mapa final'!$H$54="Media",'Mapa final'!$L$54="Menor"),CONCATENATE("R",'Mapa final'!$A$54),"")</f>
        <v/>
      </c>
      <c r="Q28" s="252"/>
      <c r="R28" s="252" t="str">
        <f>IF(AND('Mapa final'!$H$60="Media",'Mapa final'!$L$60="Menor"),CONCATENATE("R",'Mapa final'!$A$60),"")</f>
        <v/>
      </c>
      <c r="S28" s="252"/>
      <c r="T28" s="252" t="str">
        <f>IF(AND('Mapa final'!$H$66="Media",'Mapa final'!$L$66="Menor"),CONCATENATE("R",'Mapa final'!$A$66),"")</f>
        <v/>
      </c>
      <c r="U28" s="253"/>
      <c r="V28" s="251" t="str">
        <f>IF(AND('Mapa final'!$H$54="Media",'Mapa final'!$L$54="Moderado"),CONCATENATE("R",'Mapa final'!$A$54),"")</f>
        <v/>
      </c>
      <c r="W28" s="252"/>
      <c r="X28" s="252" t="str">
        <f>IF(AND('Mapa final'!$H$60="Media",'Mapa final'!$L$60="Moderado"),CONCATENATE("R",'Mapa final'!$A$60),"")</f>
        <v/>
      </c>
      <c r="Y28" s="252"/>
      <c r="Z28" s="252" t="str">
        <f>IF(AND('Mapa final'!$H$66="Media",'Mapa final'!$L$66="Moderado"),CONCATENATE("R",'Mapa final'!$A$66),"")</f>
        <v/>
      </c>
      <c r="AA28" s="253"/>
      <c r="AB28" s="269" t="str">
        <f>IF(AND('Mapa final'!$H$54="Media",'Mapa final'!$L$54="Mayor"),CONCATENATE("R",'Mapa final'!$A$54),"")</f>
        <v/>
      </c>
      <c r="AC28" s="270"/>
      <c r="AD28" s="270" t="str">
        <f>IF(AND('Mapa final'!$H$60="Media",'Mapa final'!$L$60="Mayor"),CONCATENATE("R",'Mapa final'!$A$60),"")</f>
        <v/>
      </c>
      <c r="AE28" s="270"/>
      <c r="AF28" s="270" t="str">
        <f>IF(AND('Mapa final'!$H$66="Media",'Mapa final'!$L$66="Mayor"),CONCATENATE("R",'Mapa final'!$A$66),"")</f>
        <v/>
      </c>
      <c r="AG28" s="271"/>
      <c r="AH28" s="260" t="str">
        <f>IF(AND('Mapa final'!$H$54="Media",'Mapa final'!$L$54="Catastrófico"),CONCATENATE("R",'Mapa final'!$A$54),"")</f>
        <v/>
      </c>
      <c r="AI28" s="261"/>
      <c r="AJ28" s="261" t="str">
        <f>IF(AND('Mapa final'!$H$60="Media",'Mapa final'!$L$60="Catastrófico"),CONCATENATE("R",'Mapa final'!$A$60),"")</f>
        <v/>
      </c>
      <c r="AK28" s="261"/>
      <c r="AL28" s="261" t="str">
        <f>IF(AND('Mapa final'!$H$66="Media",'Mapa final'!$L$66="Catastrófico"),CONCATENATE("R",'Mapa final'!$A$66),"")</f>
        <v/>
      </c>
      <c r="AM28" s="262"/>
      <c r="AN28" s="81"/>
      <c r="AO28" s="312"/>
      <c r="AP28" s="313"/>
      <c r="AQ28" s="313"/>
      <c r="AR28" s="313"/>
      <c r="AS28" s="313"/>
      <c r="AT28" s="314"/>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289"/>
      <c r="C29" s="289"/>
      <c r="D29" s="290"/>
      <c r="E29" s="285"/>
      <c r="F29" s="286"/>
      <c r="G29" s="286"/>
      <c r="H29" s="286"/>
      <c r="I29" s="287"/>
      <c r="J29" s="251"/>
      <c r="K29" s="252"/>
      <c r="L29" s="252"/>
      <c r="M29" s="252"/>
      <c r="N29" s="252"/>
      <c r="O29" s="253"/>
      <c r="P29" s="254"/>
      <c r="Q29" s="255"/>
      <c r="R29" s="255"/>
      <c r="S29" s="255"/>
      <c r="T29" s="255"/>
      <c r="U29" s="256"/>
      <c r="V29" s="254"/>
      <c r="W29" s="255"/>
      <c r="X29" s="255"/>
      <c r="Y29" s="255"/>
      <c r="Z29" s="255"/>
      <c r="AA29" s="256"/>
      <c r="AB29" s="272"/>
      <c r="AC29" s="273"/>
      <c r="AD29" s="273"/>
      <c r="AE29" s="273"/>
      <c r="AF29" s="273"/>
      <c r="AG29" s="274"/>
      <c r="AH29" s="263"/>
      <c r="AI29" s="264"/>
      <c r="AJ29" s="264"/>
      <c r="AK29" s="264"/>
      <c r="AL29" s="264"/>
      <c r="AM29" s="265"/>
      <c r="AN29" s="81"/>
      <c r="AO29" s="315"/>
      <c r="AP29" s="316"/>
      <c r="AQ29" s="316"/>
      <c r="AR29" s="316"/>
      <c r="AS29" s="316"/>
      <c r="AT29" s="317"/>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289"/>
      <c r="C30" s="289"/>
      <c r="D30" s="290"/>
      <c r="E30" s="279" t="s">
        <v>114</v>
      </c>
      <c r="F30" s="280"/>
      <c r="G30" s="280"/>
      <c r="H30" s="280"/>
      <c r="I30" s="280"/>
      <c r="J30" s="248" t="str">
        <f>IF(AND('Mapa final'!$H$10="Baja",'Mapa final'!$L$10="Leve"),CONCATENATE("R",'Mapa final'!$A$10),"")</f>
        <v/>
      </c>
      <c r="K30" s="249"/>
      <c r="L30" s="249" t="str">
        <f>IF(AND('Mapa final'!$H$14="Baja",'Mapa final'!$L$14="Leve"),CONCATENATE("R",'Mapa final'!$A$14),"")</f>
        <v/>
      </c>
      <c r="M30" s="249"/>
      <c r="N30" s="249" t="str">
        <f>IF(AND('Mapa final'!$H$18="Baja",'Mapa final'!$L$18="Leve"),CONCATENATE("R",'Mapa final'!$A$18),"")</f>
        <v/>
      </c>
      <c r="O30" s="250"/>
      <c r="P30" s="258" t="str">
        <f>IF(AND('Mapa final'!$H$10="Baja",'Mapa final'!$L$10="Menor"),CONCATENATE("R",'Mapa final'!$A$10),"")</f>
        <v/>
      </c>
      <c r="Q30" s="258"/>
      <c r="R30" s="258" t="str">
        <f>IF(AND('Mapa final'!$H$14="Baja",'Mapa final'!$L$14="Menor"),CONCATENATE("R",'Mapa final'!$A$14),"")</f>
        <v/>
      </c>
      <c r="S30" s="258"/>
      <c r="T30" s="258" t="str">
        <f>IF(AND('Mapa final'!$H$18="Baja",'Mapa final'!$L$18="Menor"),CONCATENATE("R",'Mapa final'!$A$18),"")</f>
        <v/>
      </c>
      <c r="U30" s="259"/>
      <c r="V30" s="257" t="str">
        <f>IF(AND('Mapa final'!$H$10="Baja",'Mapa final'!$L$10="Moderado"),CONCATENATE("R",'Mapa final'!$A$10),"")</f>
        <v/>
      </c>
      <c r="W30" s="258"/>
      <c r="X30" s="258" t="str">
        <f>IF(AND('Mapa final'!$H$14="Baja",'Mapa final'!$L$14="Moderado"),CONCATENATE("R",'Mapa final'!$A$14),"")</f>
        <v/>
      </c>
      <c r="Y30" s="258"/>
      <c r="Z30" s="258" t="str">
        <f>IF(AND('Mapa final'!$H$18="Baja",'Mapa final'!$L$18="Moderado"),CONCATENATE("R",'Mapa final'!$A$18),"")</f>
        <v/>
      </c>
      <c r="AA30" s="259"/>
      <c r="AB30" s="275" t="str">
        <f>IF(AND('Mapa final'!$H$10="Baja",'Mapa final'!$L$10="Mayor"),CONCATENATE("R",'Mapa final'!$A$10),"")</f>
        <v/>
      </c>
      <c r="AC30" s="276"/>
      <c r="AD30" s="276" t="str">
        <f>IF(AND('Mapa final'!$H$14="Baja",'Mapa final'!$L$14="Mayor"),CONCATENATE("R",'Mapa final'!$A$14),"")</f>
        <v/>
      </c>
      <c r="AE30" s="276"/>
      <c r="AF30" s="276" t="str">
        <f>IF(AND('Mapa final'!$H$18="Baja",'Mapa final'!$L$18="Mayor"),CONCATENATE("R",'Mapa final'!$A$18),"")</f>
        <v/>
      </c>
      <c r="AG30" s="277"/>
      <c r="AH30" s="266" t="str">
        <f>IF(AND('Mapa final'!$H$10="Baja",'Mapa final'!$L$10="Catastrófico"),CONCATENATE("R",'Mapa final'!$A$10),"")</f>
        <v/>
      </c>
      <c r="AI30" s="267"/>
      <c r="AJ30" s="267" t="str">
        <f>IF(AND('Mapa final'!$H$14="Baja",'Mapa final'!$L$14="Catastrófico"),CONCATENATE("R",'Mapa final'!$A$14),"")</f>
        <v/>
      </c>
      <c r="AK30" s="267"/>
      <c r="AL30" s="267" t="str">
        <f>IF(AND('Mapa final'!$H$18="Baja",'Mapa final'!$L$18="Catastrófico"),CONCATENATE("R",'Mapa final'!$A$18),"")</f>
        <v/>
      </c>
      <c r="AM30" s="268"/>
      <c r="AN30" s="81"/>
      <c r="AO30" s="318" t="s">
        <v>82</v>
      </c>
      <c r="AP30" s="319"/>
      <c r="AQ30" s="319"/>
      <c r="AR30" s="319"/>
      <c r="AS30" s="319"/>
      <c r="AT30" s="320"/>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289"/>
      <c r="C31" s="289"/>
      <c r="D31" s="290"/>
      <c r="E31" s="282"/>
      <c r="F31" s="283"/>
      <c r="G31" s="283"/>
      <c r="H31" s="283"/>
      <c r="I31" s="283"/>
      <c r="J31" s="242"/>
      <c r="K31" s="243"/>
      <c r="L31" s="243"/>
      <c r="M31" s="243"/>
      <c r="N31" s="243"/>
      <c r="O31" s="244"/>
      <c r="P31" s="252"/>
      <c r="Q31" s="252"/>
      <c r="R31" s="252"/>
      <c r="S31" s="252"/>
      <c r="T31" s="252"/>
      <c r="U31" s="253"/>
      <c r="V31" s="251"/>
      <c r="W31" s="252"/>
      <c r="X31" s="252"/>
      <c r="Y31" s="252"/>
      <c r="Z31" s="252"/>
      <c r="AA31" s="253"/>
      <c r="AB31" s="269"/>
      <c r="AC31" s="270"/>
      <c r="AD31" s="270"/>
      <c r="AE31" s="270"/>
      <c r="AF31" s="270"/>
      <c r="AG31" s="271"/>
      <c r="AH31" s="260"/>
      <c r="AI31" s="261"/>
      <c r="AJ31" s="261"/>
      <c r="AK31" s="261"/>
      <c r="AL31" s="261"/>
      <c r="AM31" s="262"/>
      <c r="AN31" s="81"/>
      <c r="AO31" s="321"/>
      <c r="AP31" s="322"/>
      <c r="AQ31" s="322"/>
      <c r="AR31" s="322"/>
      <c r="AS31" s="322"/>
      <c r="AT31" s="323"/>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289"/>
      <c r="C32" s="289"/>
      <c r="D32" s="290"/>
      <c r="E32" s="282"/>
      <c r="F32" s="283"/>
      <c r="G32" s="283"/>
      <c r="H32" s="283"/>
      <c r="I32" s="283"/>
      <c r="J32" s="242" t="str">
        <f>IF(AND('Mapa final'!$H$20="Baja",'Mapa final'!$L$20="Leve"),CONCATENATE("R",'Mapa final'!$A$20),"")</f>
        <v/>
      </c>
      <c r="K32" s="243"/>
      <c r="L32" s="243" t="str">
        <f>IF(AND('Mapa final'!$H$24="Baja",'Mapa final'!$L$24="Leve"),CONCATENATE("R",'Mapa final'!$A$24),"")</f>
        <v/>
      </c>
      <c r="M32" s="243"/>
      <c r="N32" s="243" t="str">
        <f>IF(AND('Mapa final'!$H$30="Baja",'Mapa final'!$L$30="Leve"),CONCATENATE("R",'Mapa final'!$A$30),"")</f>
        <v/>
      </c>
      <c r="O32" s="244"/>
      <c r="P32" s="252" t="str">
        <f>IF(AND('Mapa final'!$H$20="Baja",'Mapa final'!$L$20="Menor"),CONCATENATE("R",'Mapa final'!$A$20),"")</f>
        <v/>
      </c>
      <c r="Q32" s="252"/>
      <c r="R32" s="252" t="str">
        <f>IF(AND('Mapa final'!$H$24="Baja",'Mapa final'!$L$24="Menor"),CONCATENATE("R",'Mapa final'!$A$24),"")</f>
        <v/>
      </c>
      <c r="S32" s="252"/>
      <c r="T32" s="252" t="str">
        <f>IF(AND('Mapa final'!$H$30="Baja",'Mapa final'!$L$30="Menor"),CONCATENATE("R",'Mapa final'!$A$30),"")</f>
        <v/>
      </c>
      <c r="U32" s="253"/>
      <c r="V32" s="251" t="str">
        <f>IF(AND('Mapa final'!$H$20="Baja",'Mapa final'!$L$20="Moderado"),CONCATENATE("R",'Mapa final'!$A$20),"")</f>
        <v/>
      </c>
      <c r="W32" s="252"/>
      <c r="X32" s="252" t="str">
        <f>IF(AND('Mapa final'!$H$24="Baja",'Mapa final'!$L$24="Moderado"),CONCATENATE("R",'Mapa final'!$A$24),"")</f>
        <v/>
      </c>
      <c r="Y32" s="252"/>
      <c r="Z32" s="252" t="str">
        <f>IF(AND('Mapa final'!$H$30="Baja",'Mapa final'!$L$30="Moderado"),CONCATENATE("R",'Mapa final'!$A$30),"")</f>
        <v/>
      </c>
      <c r="AA32" s="253"/>
      <c r="AB32" s="269" t="str">
        <f>IF(AND('Mapa final'!$H$20="Baja",'Mapa final'!$L$20="Mayor"),CONCATENATE("R",'Mapa final'!$A$20),"")</f>
        <v/>
      </c>
      <c r="AC32" s="270"/>
      <c r="AD32" s="270" t="str">
        <f>IF(AND('Mapa final'!$H$24="Baja",'Mapa final'!$L$24="Mayor"),CONCATENATE("R",'Mapa final'!$A$24),"")</f>
        <v/>
      </c>
      <c r="AE32" s="270"/>
      <c r="AF32" s="270" t="str">
        <f>IF(AND('Mapa final'!$H$30="Baja",'Mapa final'!$L$30="Mayor"),CONCATENATE("R",'Mapa final'!$A$30),"")</f>
        <v/>
      </c>
      <c r="AG32" s="271"/>
      <c r="AH32" s="260" t="str">
        <f>IF(AND('Mapa final'!$H$20="Baja",'Mapa final'!$L$20="Catastrófico"),CONCATENATE("R",'Mapa final'!$A$20),"")</f>
        <v/>
      </c>
      <c r="AI32" s="261"/>
      <c r="AJ32" s="261" t="str">
        <f>IF(AND('Mapa final'!$H$24="Baja",'Mapa final'!$L$24="Catastrófico"),CONCATENATE("R",'Mapa final'!$A$24),"")</f>
        <v/>
      </c>
      <c r="AK32" s="261"/>
      <c r="AL32" s="261" t="str">
        <f>IF(AND('Mapa final'!$H$30="Baja",'Mapa final'!$L$30="Catastrófico"),CONCATENATE("R",'Mapa final'!$A$30),"")</f>
        <v/>
      </c>
      <c r="AM32" s="262"/>
      <c r="AN32" s="81"/>
      <c r="AO32" s="321"/>
      <c r="AP32" s="322"/>
      <c r="AQ32" s="322"/>
      <c r="AR32" s="322"/>
      <c r="AS32" s="322"/>
      <c r="AT32" s="323"/>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289"/>
      <c r="C33" s="289"/>
      <c r="D33" s="290"/>
      <c r="E33" s="282"/>
      <c r="F33" s="283"/>
      <c r="G33" s="283"/>
      <c r="H33" s="283"/>
      <c r="I33" s="283"/>
      <c r="J33" s="242"/>
      <c r="K33" s="243"/>
      <c r="L33" s="243"/>
      <c r="M33" s="243"/>
      <c r="N33" s="243"/>
      <c r="O33" s="244"/>
      <c r="P33" s="252"/>
      <c r="Q33" s="252"/>
      <c r="R33" s="252"/>
      <c r="S33" s="252"/>
      <c r="T33" s="252"/>
      <c r="U33" s="253"/>
      <c r="V33" s="251"/>
      <c r="W33" s="252"/>
      <c r="X33" s="252"/>
      <c r="Y33" s="252"/>
      <c r="Z33" s="252"/>
      <c r="AA33" s="253"/>
      <c r="AB33" s="269"/>
      <c r="AC33" s="270"/>
      <c r="AD33" s="270"/>
      <c r="AE33" s="270"/>
      <c r="AF33" s="270"/>
      <c r="AG33" s="271"/>
      <c r="AH33" s="260"/>
      <c r="AI33" s="261"/>
      <c r="AJ33" s="261"/>
      <c r="AK33" s="261"/>
      <c r="AL33" s="261"/>
      <c r="AM33" s="262"/>
      <c r="AN33" s="81"/>
      <c r="AO33" s="321"/>
      <c r="AP33" s="322"/>
      <c r="AQ33" s="322"/>
      <c r="AR33" s="322"/>
      <c r="AS33" s="322"/>
      <c r="AT33" s="323"/>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289"/>
      <c r="C34" s="289"/>
      <c r="D34" s="290"/>
      <c r="E34" s="282"/>
      <c r="F34" s="283"/>
      <c r="G34" s="283"/>
      <c r="H34" s="283"/>
      <c r="I34" s="283"/>
      <c r="J34" s="242" t="str">
        <f>IF(AND('Mapa final'!$H$36="Baja",'Mapa final'!$L$36="Leve"),CONCATENATE("R",'Mapa final'!$A$36),"")</f>
        <v/>
      </c>
      <c r="K34" s="243"/>
      <c r="L34" s="243" t="str">
        <f>IF(AND('Mapa final'!$H$42="Baja",'Mapa final'!$L$42="Leve"),CONCATENATE("R",'Mapa final'!$A$42),"")</f>
        <v/>
      </c>
      <c r="M34" s="243"/>
      <c r="N34" s="243" t="str">
        <f>IF(AND('Mapa final'!$H$48="Baja",'Mapa final'!$L$48="Leve"),CONCATENATE("R",'Mapa final'!$A$48),"")</f>
        <v/>
      </c>
      <c r="O34" s="244"/>
      <c r="P34" s="252" t="str">
        <f>IF(AND('Mapa final'!$H$36="Baja",'Mapa final'!$L$36="Menor"),CONCATENATE("R",'Mapa final'!$A$36),"")</f>
        <v/>
      </c>
      <c r="Q34" s="252"/>
      <c r="R34" s="252" t="str">
        <f>IF(AND('Mapa final'!$H$42="Baja",'Mapa final'!$L$42="Menor"),CONCATENATE("R",'Mapa final'!$A$42),"")</f>
        <v/>
      </c>
      <c r="S34" s="252"/>
      <c r="T34" s="252" t="str">
        <f>IF(AND('Mapa final'!$H$48="Baja",'Mapa final'!$L$48="Menor"),CONCATENATE("R",'Mapa final'!$A$48),"")</f>
        <v/>
      </c>
      <c r="U34" s="253"/>
      <c r="V34" s="251" t="str">
        <f>IF(AND('Mapa final'!$H$36="Baja",'Mapa final'!$L$36="Moderado"),CONCATENATE("R",'Mapa final'!$A$36),"")</f>
        <v/>
      </c>
      <c r="W34" s="252"/>
      <c r="X34" s="252" t="str">
        <f>IF(AND('Mapa final'!$H$42="Baja",'Mapa final'!$L$42="Moderado"),CONCATENATE("R",'Mapa final'!$A$42),"")</f>
        <v/>
      </c>
      <c r="Y34" s="252"/>
      <c r="Z34" s="252" t="str">
        <f>IF(AND('Mapa final'!$H$48="Baja",'Mapa final'!$L$48="Moderado"),CONCATENATE("R",'Mapa final'!$A$48),"")</f>
        <v/>
      </c>
      <c r="AA34" s="253"/>
      <c r="AB34" s="269" t="str">
        <f>IF(AND('Mapa final'!$H$36="Baja",'Mapa final'!$L$36="Mayor"),CONCATENATE("R",'Mapa final'!$A$36),"")</f>
        <v/>
      </c>
      <c r="AC34" s="270"/>
      <c r="AD34" s="270" t="str">
        <f>IF(AND('Mapa final'!$H$42="Baja",'Mapa final'!$L$42="Mayor"),CONCATENATE("R",'Mapa final'!$A$42),"")</f>
        <v/>
      </c>
      <c r="AE34" s="270"/>
      <c r="AF34" s="270" t="str">
        <f>IF(AND('Mapa final'!$H$48="Baja",'Mapa final'!$L$48="Mayor"),CONCATENATE("R",'Mapa final'!$A$48),"")</f>
        <v/>
      </c>
      <c r="AG34" s="271"/>
      <c r="AH34" s="260" t="str">
        <f>IF(AND('Mapa final'!$H$36="Baja",'Mapa final'!$L$36="Catastrófico"),CONCATENATE("R",'Mapa final'!$A$36),"")</f>
        <v/>
      </c>
      <c r="AI34" s="261"/>
      <c r="AJ34" s="261" t="str">
        <f>IF(AND('Mapa final'!$H$42="Baja",'Mapa final'!$L$42="Catastrófico"),CONCATENATE("R",'Mapa final'!$A$42),"")</f>
        <v/>
      </c>
      <c r="AK34" s="261"/>
      <c r="AL34" s="261" t="str">
        <f>IF(AND('Mapa final'!$H$48="Baja",'Mapa final'!$L$48="Catastrófico"),CONCATENATE("R",'Mapa final'!$A$48),"")</f>
        <v/>
      </c>
      <c r="AM34" s="262"/>
      <c r="AN34" s="81"/>
      <c r="AO34" s="321"/>
      <c r="AP34" s="322"/>
      <c r="AQ34" s="322"/>
      <c r="AR34" s="322"/>
      <c r="AS34" s="322"/>
      <c r="AT34" s="323"/>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289"/>
      <c r="C35" s="289"/>
      <c r="D35" s="290"/>
      <c r="E35" s="282"/>
      <c r="F35" s="283"/>
      <c r="G35" s="283"/>
      <c r="H35" s="283"/>
      <c r="I35" s="283"/>
      <c r="J35" s="242"/>
      <c r="K35" s="243"/>
      <c r="L35" s="243"/>
      <c r="M35" s="243"/>
      <c r="N35" s="243"/>
      <c r="O35" s="244"/>
      <c r="P35" s="252"/>
      <c r="Q35" s="252"/>
      <c r="R35" s="252"/>
      <c r="S35" s="252"/>
      <c r="T35" s="252"/>
      <c r="U35" s="253"/>
      <c r="V35" s="251"/>
      <c r="W35" s="252"/>
      <c r="X35" s="252"/>
      <c r="Y35" s="252"/>
      <c r="Z35" s="252"/>
      <c r="AA35" s="253"/>
      <c r="AB35" s="269"/>
      <c r="AC35" s="270"/>
      <c r="AD35" s="270"/>
      <c r="AE35" s="270"/>
      <c r="AF35" s="270"/>
      <c r="AG35" s="271"/>
      <c r="AH35" s="260"/>
      <c r="AI35" s="261"/>
      <c r="AJ35" s="261"/>
      <c r="AK35" s="261"/>
      <c r="AL35" s="261"/>
      <c r="AM35" s="262"/>
      <c r="AN35" s="81"/>
      <c r="AO35" s="321"/>
      <c r="AP35" s="322"/>
      <c r="AQ35" s="322"/>
      <c r="AR35" s="322"/>
      <c r="AS35" s="322"/>
      <c r="AT35" s="323"/>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289"/>
      <c r="C36" s="289"/>
      <c r="D36" s="290"/>
      <c r="E36" s="282"/>
      <c r="F36" s="283"/>
      <c r="G36" s="283"/>
      <c r="H36" s="283"/>
      <c r="I36" s="283"/>
      <c r="J36" s="242" t="str">
        <f>IF(AND('Mapa final'!$H$54="Baja",'Mapa final'!$L$54="Leve"),CONCATENATE("R",'Mapa final'!$A$54),"")</f>
        <v/>
      </c>
      <c r="K36" s="243"/>
      <c r="L36" s="243" t="str">
        <f>IF(AND('Mapa final'!$H$60="Baja",'Mapa final'!$L$60="Leve"),CONCATENATE("R",'Mapa final'!$A$60),"")</f>
        <v/>
      </c>
      <c r="M36" s="243"/>
      <c r="N36" s="243" t="str">
        <f>IF(AND('Mapa final'!$H$66="Baja",'Mapa final'!$L$66="Leve"),CONCATENATE("R",'Mapa final'!$A$66),"")</f>
        <v/>
      </c>
      <c r="O36" s="244"/>
      <c r="P36" s="252" t="str">
        <f>IF(AND('Mapa final'!$H$54="Baja",'Mapa final'!$L$54="Menor"),CONCATENATE("R",'Mapa final'!$A$54),"")</f>
        <v/>
      </c>
      <c r="Q36" s="252"/>
      <c r="R36" s="252" t="str">
        <f>IF(AND('Mapa final'!$H$60="Baja",'Mapa final'!$L$60="Menor"),CONCATENATE("R",'Mapa final'!$A$60),"")</f>
        <v/>
      </c>
      <c r="S36" s="252"/>
      <c r="T36" s="252" t="str">
        <f>IF(AND('Mapa final'!$H$66="Baja",'Mapa final'!$L$66="Menor"),CONCATENATE("R",'Mapa final'!$A$66),"")</f>
        <v/>
      </c>
      <c r="U36" s="253"/>
      <c r="V36" s="251" t="str">
        <f>IF(AND('Mapa final'!$H$54="Baja",'Mapa final'!$L$54="Moderado"),CONCATENATE("R",'Mapa final'!$A$54),"")</f>
        <v/>
      </c>
      <c r="W36" s="252"/>
      <c r="X36" s="252" t="str">
        <f>IF(AND('Mapa final'!$H$60="Baja",'Mapa final'!$L$60="Moderado"),CONCATENATE("R",'Mapa final'!$A$60),"")</f>
        <v/>
      </c>
      <c r="Y36" s="252"/>
      <c r="Z36" s="252" t="str">
        <f>IF(AND('Mapa final'!$H$66="Baja",'Mapa final'!$L$66="Moderado"),CONCATENATE("R",'Mapa final'!$A$66),"")</f>
        <v/>
      </c>
      <c r="AA36" s="253"/>
      <c r="AB36" s="269" t="str">
        <f>IF(AND('Mapa final'!$H$54="Baja",'Mapa final'!$L$54="Mayor"),CONCATENATE("R",'Mapa final'!$A$54),"")</f>
        <v/>
      </c>
      <c r="AC36" s="270"/>
      <c r="AD36" s="270" t="str">
        <f>IF(AND('Mapa final'!$H$60="Baja",'Mapa final'!$L$60="Mayor"),CONCATENATE("R",'Mapa final'!$A$60),"")</f>
        <v/>
      </c>
      <c r="AE36" s="270"/>
      <c r="AF36" s="270" t="str">
        <f>IF(AND('Mapa final'!$H$66="Baja",'Mapa final'!$L$66="Mayor"),CONCATENATE("R",'Mapa final'!$A$66),"")</f>
        <v/>
      </c>
      <c r="AG36" s="271"/>
      <c r="AH36" s="260" t="str">
        <f>IF(AND('Mapa final'!$H$54="Baja",'Mapa final'!$L$54="Catastrófico"),CONCATENATE("R",'Mapa final'!$A$54),"")</f>
        <v/>
      </c>
      <c r="AI36" s="261"/>
      <c r="AJ36" s="261" t="str">
        <f>IF(AND('Mapa final'!$H$60="Baja",'Mapa final'!$L$60="Catastrófico"),CONCATENATE("R",'Mapa final'!$A$60),"")</f>
        <v/>
      </c>
      <c r="AK36" s="261"/>
      <c r="AL36" s="261" t="str">
        <f>IF(AND('Mapa final'!$H$66="Baja",'Mapa final'!$L$66="Catastrófico"),CONCATENATE("R",'Mapa final'!$A$66),"")</f>
        <v/>
      </c>
      <c r="AM36" s="262"/>
      <c r="AN36" s="81"/>
      <c r="AO36" s="321"/>
      <c r="AP36" s="322"/>
      <c r="AQ36" s="322"/>
      <c r="AR36" s="322"/>
      <c r="AS36" s="322"/>
      <c r="AT36" s="323"/>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289"/>
      <c r="C37" s="289"/>
      <c r="D37" s="290"/>
      <c r="E37" s="285"/>
      <c r="F37" s="286"/>
      <c r="G37" s="286"/>
      <c r="H37" s="286"/>
      <c r="I37" s="286"/>
      <c r="J37" s="245"/>
      <c r="K37" s="246"/>
      <c r="L37" s="246"/>
      <c r="M37" s="246"/>
      <c r="N37" s="246"/>
      <c r="O37" s="247"/>
      <c r="P37" s="255"/>
      <c r="Q37" s="255"/>
      <c r="R37" s="255"/>
      <c r="S37" s="255"/>
      <c r="T37" s="255"/>
      <c r="U37" s="256"/>
      <c r="V37" s="254"/>
      <c r="W37" s="255"/>
      <c r="X37" s="255"/>
      <c r="Y37" s="255"/>
      <c r="Z37" s="255"/>
      <c r="AA37" s="256"/>
      <c r="AB37" s="272"/>
      <c r="AC37" s="273"/>
      <c r="AD37" s="273"/>
      <c r="AE37" s="273"/>
      <c r="AF37" s="273"/>
      <c r="AG37" s="274"/>
      <c r="AH37" s="263"/>
      <c r="AI37" s="264"/>
      <c r="AJ37" s="264"/>
      <c r="AK37" s="264"/>
      <c r="AL37" s="264"/>
      <c r="AM37" s="265"/>
      <c r="AN37" s="81"/>
      <c r="AO37" s="324"/>
      <c r="AP37" s="325"/>
      <c r="AQ37" s="325"/>
      <c r="AR37" s="325"/>
      <c r="AS37" s="325"/>
      <c r="AT37" s="326"/>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289"/>
      <c r="C38" s="289"/>
      <c r="D38" s="290"/>
      <c r="E38" s="279" t="s">
        <v>113</v>
      </c>
      <c r="F38" s="280"/>
      <c r="G38" s="280"/>
      <c r="H38" s="280"/>
      <c r="I38" s="281"/>
      <c r="J38" s="248" t="str">
        <f>IF(AND('Mapa final'!$H$10="Muy Baja",'Mapa final'!$L$10="Leve"),CONCATENATE("R",'Mapa final'!$A$10),"")</f>
        <v/>
      </c>
      <c r="K38" s="249"/>
      <c r="L38" s="249" t="str">
        <f>IF(AND('Mapa final'!$H$14="Muy Baja",'Mapa final'!$L$14="Leve"),CONCATENATE("R",'Mapa final'!$A$14),"")</f>
        <v/>
      </c>
      <c r="M38" s="249"/>
      <c r="N38" s="249" t="str">
        <f>IF(AND('Mapa final'!$H$18="Muy Baja",'Mapa final'!$L$18="Leve"),CONCATENATE("R",'Mapa final'!$A$18),"")</f>
        <v/>
      </c>
      <c r="O38" s="250"/>
      <c r="P38" s="248" t="str">
        <f>IF(AND('Mapa final'!$H$10="Muy Baja",'Mapa final'!$L$10="Menor"),CONCATENATE("R",'Mapa final'!$A$10),"")</f>
        <v/>
      </c>
      <c r="Q38" s="249"/>
      <c r="R38" s="249" t="str">
        <f>IF(AND('Mapa final'!$H$14="Muy Baja",'Mapa final'!$L$14="Menor"),CONCATENATE("R",'Mapa final'!$A$14),"")</f>
        <v/>
      </c>
      <c r="S38" s="249"/>
      <c r="T38" s="249" t="str">
        <f>IF(AND('Mapa final'!$H$18="Muy Baja",'Mapa final'!$L$18="Menor"),CONCATENATE("R",'Mapa final'!$A$18),"")</f>
        <v/>
      </c>
      <c r="U38" s="250"/>
      <c r="V38" s="257" t="str">
        <f>IF(AND('Mapa final'!$H$10="Muy Baja",'Mapa final'!$L$10="Moderado"),CONCATENATE("R",'Mapa final'!$A$10),"")</f>
        <v/>
      </c>
      <c r="W38" s="258"/>
      <c r="X38" s="258" t="str">
        <f>IF(AND('Mapa final'!$H$14="Muy Baja",'Mapa final'!$L$14="Moderado"),CONCATENATE("R",'Mapa final'!$A$14),"")</f>
        <v/>
      </c>
      <c r="Y38" s="258"/>
      <c r="Z38" s="258" t="str">
        <f>IF(AND('Mapa final'!$H$18="Muy Baja",'Mapa final'!$L$18="Moderado"),CONCATENATE("R",'Mapa final'!$A$18),"")</f>
        <v/>
      </c>
      <c r="AA38" s="259"/>
      <c r="AB38" s="275" t="str">
        <f>IF(AND('Mapa final'!$H$10="Muy Baja",'Mapa final'!$L$10="Mayor"),CONCATENATE("R",'Mapa final'!$A$10),"")</f>
        <v/>
      </c>
      <c r="AC38" s="276"/>
      <c r="AD38" s="276" t="str">
        <f>IF(AND('Mapa final'!$H$14="Muy Baja",'Mapa final'!$L$14="Mayor"),CONCATENATE("R",'Mapa final'!$A$14),"")</f>
        <v/>
      </c>
      <c r="AE38" s="276"/>
      <c r="AF38" s="276" t="str">
        <f>IF(AND('Mapa final'!$H$18="Muy Baja",'Mapa final'!$L$18="Mayor"),CONCATENATE("R",'Mapa final'!$A$18),"")</f>
        <v/>
      </c>
      <c r="AG38" s="277"/>
      <c r="AH38" s="266" t="str">
        <f>IF(AND('Mapa final'!$H$10="Muy Baja",'Mapa final'!$L$10="Catastrófico"),CONCATENATE("R",'Mapa final'!$A$10),"")</f>
        <v/>
      </c>
      <c r="AI38" s="267"/>
      <c r="AJ38" s="267" t="str">
        <f>IF(AND('Mapa final'!$H$14="Muy Baja",'Mapa final'!$L$14="Catastrófico"),CONCATENATE("R",'Mapa final'!$A$14),"")</f>
        <v/>
      </c>
      <c r="AK38" s="267"/>
      <c r="AL38" s="267" t="str">
        <f>IF(AND('Mapa final'!$H$18="Muy Baja",'Mapa final'!$L$18="Catastrófico"),CONCATENATE("R",'Mapa final'!$A$18),"")</f>
        <v/>
      </c>
      <c r="AM38" s="268"/>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289"/>
      <c r="C39" s="289"/>
      <c r="D39" s="290"/>
      <c r="E39" s="282"/>
      <c r="F39" s="283"/>
      <c r="G39" s="283"/>
      <c r="H39" s="283"/>
      <c r="I39" s="284"/>
      <c r="J39" s="242"/>
      <c r="K39" s="243"/>
      <c r="L39" s="243"/>
      <c r="M39" s="243"/>
      <c r="N39" s="243"/>
      <c r="O39" s="244"/>
      <c r="P39" s="242"/>
      <c r="Q39" s="243"/>
      <c r="R39" s="243"/>
      <c r="S39" s="243"/>
      <c r="T39" s="243"/>
      <c r="U39" s="244"/>
      <c r="V39" s="251"/>
      <c r="W39" s="252"/>
      <c r="X39" s="252"/>
      <c r="Y39" s="252"/>
      <c r="Z39" s="252"/>
      <c r="AA39" s="253"/>
      <c r="AB39" s="269"/>
      <c r="AC39" s="270"/>
      <c r="AD39" s="270"/>
      <c r="AE39" s="270"/>
      <c r="AF39" s="270"/>
      <c r="AG39" s="271"/>
      <c r="AH39" s="260"/>
      <c r="AI39" s="261"/>
      <c r="AJ39" s="261"/>
      <c r="AK39" s="261"/>
      <c r="AL39" s="261"/>
      <c r="AM39" s="262"/>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289"/>
      <c r="C40" s="289"/>
      <c r="D40" s="290"/>
      <c r="E40" s="282"/>
      <c r="F40" s="283"/>
      <c r="G40" s="283"/>
      <c r="H40" s="283"/>
      <c r="I40" s="284"/>
      <c r="J40" s="242" t="str">
        <f>IF(AND('Mapa final'!$H$20="Muy Baja",'Mapa final'!$L$20="Leve"),CONCATENATE("R",'Mapa final'!$A$20),"")</f>
        <v/>
      </c>
      <c r="K40" s="243"/>
      <c r="L40" s="243" t="str">
        <f>IF(AND('Mapa final'!$H$24="Muy Baja",'Mapa final'!$L$24="Leve"),CONCATENATE("R",'Mapa final'!$A$24),"")</f>
        <v/>
      </c>
      <c r="M40" s="243"/>
      <c r="N40" s="243" t="str">
        <f>IF(AND('Mapa final'!$H$30="Muy Baja",'Mapa final'!$L$30="Leve"),CONCATENATE("R",'Mapa final'!$A$30),"")</f>
        <v/>
      </c>
      <c r="O40" s="244"/>
      <c r="P40" s="242" t="str">
        <f>IF(AND('Mapa final'!$H$20="Muy Baja",'Mapa final'!$L$20="Menor"),CONCATENATE("R",'Mapa final'!$A$20),"")</f>
        <v/>
      </c>
      <c r="Q40" s="243"/>
      <c r="R40" s="243" t="str">
        <f>IF(AND('Mapa final'!$H$24="Muy Baja",'Mapa final'!$L$24="Menor"),CONCATENATE("R",'Mapa final'!$A$24),"")</f>
        <v/>
      </c>
      <c r="S40" s="243"/>
      <c r="T40" s="243" t="str">
        <f>IF(AND('Mapa final'!$H$30="Muy Baja",'Mapa final'!$L$30="Menor"),CONCATENATE("R",'Mapa final'!$A$30),"")</f>
        <v/>
      </c>
      <c r="U40" s="244"/>
      <c r="V40" s="251" t="str">
        <f>IF(AND('Mapa final'!$H$20="Muy Baja",'Mapa final'!$L$20="Moderado"),CONCATENATE("R",'Mapa final'!$A$20),"")</f>
        <v/>
      </c>
      <c r="W40" s="252"/>
      <c r="X40" s="252" t="str">
        <f>IF(AND('Mapa final'!$H$24="Muy Baja",'Mapa final'!$L$24="Moderado"),CONCATENATE("R",'Mapa final'!$A$24),"")</f>
        <v/>
      </c>
      <c r="Y40" s="252"/>
      <c r="Z40" s="252" t="str">
        <f>IF(AND('Mapa final'!$H$30="Muy Baja",'Mapa final'!$L$30="Moderado"),CONCATENATE("R",'Mapa final'!$A$30),"")</f>
        <v/>
      </c>
      <c r="AA40" s="253"/>
      <c r="AB40" s="269" t="str">
        <f>IF(AND('Mapa final'!$H$20="Muy Baja",'Mapa final'!$L$20="Mayor"),CONCATENATE("R",'Mapa final'!$A$20),"")</f>
        <v/>
      </c>
      <c r="AC40" s="270"/>
      <c r="AD40" s="270" t="str">
        <f>IF(AND('Mapa final'!$H$24="Muy Baja",'Mapa final'!$L$24="Mayor"),CONCATENATE("R",'Mapa final'!$A$24),"")</f>
        <v/>
      </c>
      <c r="AE40" s="270"/>
      <c r="AF40" s="270" t="str">
        <f>IF(AND('Mapa final'!$H$30="Muy Baja",'Mapa final'!$L$30="Mayor"),CONCATENATE("R",'Mapa final'!$A$30),"")</f>
        <v/>
      </c>
      <c r="AG40" s="271"/>
      <c r="AH40" s="260" t="str">
        <f>IF(AND('Mapa final'!$H$20="Muy Baja",'Mapa final'!$L$20="Catastrófico"),CONCATENATE("R",'Mapa final'!$A$20),"")</f>
        <v/>
      </c>
      <c r="AI40" s="261"/>
      <c r="AJ40" s="261" t="str">
        <f>IF(AND('Mapa final'!$H$24="Muy Baja",'Mapa final'!$L$24="Catastrófico"),CONCATENATE("R",'Mapa final'!$A$24),"")</f>
        <v/>
      </c>
      <c r="AK40" s="261"/>
      <c r="AL40" s="261" t="str">
        <f>IF(AND('Mapa final'!$H$30="Muy Baja",'Mapa final'!$L$30="Catastrófico"),CONCATENATE("R",'Mapa final'!$A$30),"")</f>
        <v/>
      </c>
      <c r="AM40" s="262"/>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289"/>
      <c r="C41" s="289"/>
      <c r="D41" s="290"/>
      <c r="E41" s="282"/>
      <c r="F41" s="283"/>
      <c r="G41" s="283"/>
      <c r="H41" s="283"/>
      <c r="I41" s="284"/>
      <c r="J41" s="242"/>
      <c r="K41" s="243"/>
      <c r="L41" s="243"/>
      <c r="M41" s="243"/>
      <c r="N41" s="243"/>
      <c r="O41" s="244"/>
      <c r="P41" s="242"/>
      <c r="Q41" s="243"/>
      <c r="R41" s="243"/>
      <c r="S41" s="243"/>
      <c r="T41" s="243"/>
      <c r="U41" s="244"/>
      <c r="V41" s="251"/>
      <c r="W41" s="252"/>
      <c r="X41" s="252"/>
      <c r="Y41" s="252"/>
      <c r="Z41" s="252"/>
      <c r="AA41" s="253"/>
      <c r="AB41" s="269"/>
      <c r="AC41" s="270"/>
      <c r="AD41" s="270"/>
      <c r="AE41" s="270"/>
      <c r="AF41" s="270"/>
      <c r="AG41" s="271"/>
      <c r="AH41" s="260"/>
      <c r="AI41" s="261"/>
      <c r="AJ41" s="261"/>
      <c r="AK41" s="261"/>
      <c r="AL41" s="261"/>
      <c r="AM41" s="262"/>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289"/>
      <c r="C42" s="289"/>
      <c r="D42" s="290"/>
      <c r="E42" s="282"/>
      <c r="F42" s="283"/>
      <c r="G42" s="283"/>
      <c r="H42" s="283"/>
      <c r="I42" s="284"/>
      <c r="J42" s="242" t="str">
        <f>IF(AND('Mapa final'!$H$36="Muy Baja",'Mapa final'!$L$36="Leve"),CONCATENATE("R",'Mapa final'!$A$36),"")</f>
        <v/>
      </c>
      <c r="K42" s="243"/>
      <c r="L42" s="243" t="str">
        <f>IF(AND('Mapa final'!$H$42="Muy Baja",'Mapa final'!$L$42="Leve"),CONCATENATE("R",'Mapa final'!$A$42),"")</f>
        <v/>
      </c>
      <c r="M42" s="243"/>
      <c r="N42" s="243" t="str">
        <f>IF(AND('Mapa final'!$H$48="Muy Baja",'Mapa final'!$L$48="Leve"),CONCATENATE("R",'Mapa final'!$A$48),"")</f>
        <v/>
      </c>
      <c r="O42" s="244"/>
      <c r="P42" s="242" t="str">
        <f>IF(AND('Mapa final'!$H$36="Muy Baja",'Mapa final'!$L$36="Menor"),CONCATENATE("R",'Mapa final'!$A$36),"")</f>
        <v/>
      </c>
      <c r="Q42" s="243"/>
      <c r="R42" s="243" t="str">
        <f>IF(AND('Mapa final'!$H$42="Muy Baja",'Mapa final'!$L$42="Menor"),CONCATENATE("R",'Mapa final'!$A$42),"")</f>
        <v/>
      </c>
      <c r="S42" s="243"/>
      <c r="T42" s="243" t="str">
        <f>IF(AND('Mapa final'!$H$48="Muy Baja",'Mapa final'!$L$48="Menor"),CONCATENATE("R",'Mapa final'!$A$48),"")</f>
        <v/>
      </c>
      <c r="U42" s="244"/>
      <c r="V42" s="251" t="str">
        <f>IF(AND('Mapa final'!$H$36="Muy Baja",'Mapa final'!$L$36="Moderado"),CONCATENATE("R",'Mapa final'!$A$36),"")</f>
        <v/>
      </c>
      <c r="W42" s="252"/>
      <c r="X42" s="252" t="str">
        <f>IF(AND('Mapa final'!$H$42="Muy Baja",'Mapa final'!$L$42="Moderado"),CONCATENATE("R",'Mapa final'!$A$42),"")</f>
        <v/>
      </c>
      <c r="Y42" s="252"/>
      <c r="Z42" s="252" t="str">
        <f>IF(AND('Mapa final'!$H$48="Muy Baja",'Mapa final'!$L$48="Moderado"),CONCATENATE("R",'Mapa final'!$A$48),"")</f>
        <v/>
      </c>
      <c r="AA42" s="253"/>
      <c r="AB42" s="269" t="str">
        <f>IF(AND('Mapa final'!$H$36="Muy Baja",'Mapa final'!$L$36="Mayor"),CONCATENATE("R",'Mapa final'!$A$36),"")</f>
        <v/>
      </c>
      <c r="AC42" s="270"/>
      <c r="AD42" s="270" t="str">
        <f>IF(AND('Mapa final'!$H$42="Muy Baja",'Mapa final'!$L$42="Mayor"),CONCATENATE("R",'Mapa final'!$A$42),"")</f>
        <v/>
      </c>
      <c r="AE42" s="270"/>
      <c r="AF42" s="270" t="str">
        <f>IF(AND('Mapa final'!$H$48="Muy Baja",'Mapa final'!$L$48="Mayor"),CONCATENATE("R",'Mapa final'!$A$48),"")</f>
        <v/>
      </c>
      <c r="AG42" s="271"/>
      <c r="AH42" s="260" t="str">
        <f>IF(AND('Mapa final'!$H$36="Muy Baja",'Mapa final'!$L$36="Catastrófico"),CONCATENATE("R",'Mapa final'!$A$36),"")</f>
        <v/>
      </c>
      <c r="AI42" s="261"/>
      <c r="AJ42" s="261" t="str">
        <f>IF(AND('Mapa final'!$H$42="Muy Baja",'Mapa final'!$L$42="Catastrófico"),CONCATENATE("R",'Mapa final'!$A$42),"")</f>
        <v/>
      </c>
      <c r="AK42" s="261"/>
      <c r="AL42" s="261" t="str">
        <f>IF(AND('Mapa final'!$H$48="Muy Baja",'Mapa final'!$L$48="Catastrófico"),CONCATENATE("R",'Mapa final'!$A$48),"")</f>
        <v/>
      </c>
      <c r="AM42" s="262"/>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289"/>
      <c r="C43" s="289"/>
      <c r="D43" s="290"/>
      <c r="E43" s="282"/>
      <c r="F43" s="283"/>
      <c r="G43" s="283"/>
      <c r="H43" s="283"/>
      <c r="I43" s="284"/>
      <c r="J43" s="242"/>
      <c r="K43" s="243"/>
      <c r="L43" s="243"/>
      <c r="M43" s="243"/>
      <c r="N43" s="243"/>
      <c r="O43" s="244"/>
      <c r="P43" s="242"/>
      <c r="Q43" s="243"/>
      <c r="R43" s="243"/>
      <c r="S43" s="243"/>
      <c r="T43" s="243"/>
      <c r="U43" s="244"/>
      <c r="V43" s="251"/>
      <c r="W43" s="252"/>
      <c r="X43" s="252"/>
      <c r="Y43" s="252"/>
      <c r="Z43" s="252"/>
      <c r="AA43" s="253"/>
      <c r="AB43" s="269"/>
      <c r="AC43" s="270"/>
      <c r="AD43" s="270"/>
      <c r="AE43" s="270"/>
      <c r="AF43" s="270"/>
      <c r="AG43" s="271"/>
      <c r="AH43" s="260"/>
      <c r="AI43" s="261"/>
      <c r="AJ43" s="261"/>
      <c r="AK43" s="261"/>
      <c r="AL43" s="261"/>
      <c r="AM43" s="262"/>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289"/>
      <c r="C44" s="289"/>
      <c r="D44" s="290"/>
      <c r="E44" s="282"/>
      <c r="F44" s="283"/>
      <c r="G44" s="283"/>
      <c r="H44" s="283"/>
      <c r="I44" s="284"/>
      <c r="J44" s="242" t="str">
        <f>IF(AND('Mapa final'!$H$54="Muy Baja",'Mapa final'!$L$54="Leve"),CONCATENATE("R",'Mapa final'!$A$54),"")</f>
        <v/>
      </c>
      <c r="K44" s="243"/>
      <c r="L44" s="243" t="str">
        <f>IF(AND('Mapa final'!$H$60="Muy Baja",'Mapa final'!$L$60="Leve"),CONCATENATE("R",'Mapa final'!$A$60),"")</f>
        <v/>
      </c>
      <c r="M44" s="243"/>
      <c r="N44" s="243" t="str">
        <f>IF(AND('Mapa final'!$H$66="Muy Baja",'Mapa final'!$L$66="Leve"),CONCATENATE("R",'Mapa final'!$A$66),"")</f>
        <v/>
      </c>
      <c r="O44" s="244"/>
      <c r="P44" s="242" t="str">
        <f>IF(AND('Mapa final'!$H$54="Muy Baja",'Mapa final'!$L$54="Menor"),CONCATENATE("R",'Mapa final'!$A$54),"")</f>
        <v/>
      </c>
      <c r="Q44" s="243"/>
      <c r="R44" s="243" t="str">
        <f>IF(AND('Mapa final'!$H$60="Muy Baja",'Mapa final'!$L$60="Menor"),CONCATENATE("R",'Mapa final'!$A$60),"")</f>
        <v/>
      </c>
      <c r="S44" s="243"/>
      <c r="T44" s="243" t="str">
        <f>IF(AND('Mapa final'!$H$66="Muy Baja",'Mapa final'!$L$66="Menor"),CONCATENATE("R",'Mapa final'!$A$66),"")</f>
        <v/>
      </c>
      <c r="U44" s="244"/>
      <c r="V44" s="251" t="str">
        <f>IF(AND('Mapa final'!$H$54="Muy Baja",'Mapa final'!$L$54="Moderado"),CONCATENATE("R",'Mapa final'!$A$54),"")</f>
        <v/>
      </c>
      <c r="W44" s="252"/>
      <c r="X44" s="252" t="str">
        <f>IF(AND('Mapa final'!$H$60="Muy Baja",'Mapa final'!$L$60="Moderado"),CONCATENATE("R",'Mapa final'!$A$60),"")</f>
        <v/>
      </c>
      <c r="Y44" s="252"/>
      <c r="Z44" s="252" t="str">
        <f>IF(AND('Mapa final'!$H$66="Muy Baja",'Mapa final'!$L$66="Moderado"),CONCATENATE("R",'Mapa final'!$A$66),"")</f>
        <v/>
      </c>
      <c r="AA44" s="253"/>
      <c r="AB44" s="269" t="str">
        <f>IF(AND('Mapa final'!$H$54="Muy Baja",'Mapa final'!$L$54="Mayor"),CONCATENATE("R",'Mapa final'!$A$54),"")</f>
        <v/>
      </c>
      <c r="AC44" s="270"/>
      <c r="AD44" s="270" t="str">
        <f>IF(AND('Mapa final'!$H$60="Muy Baja",'Mapa final'!$L$60="Mayor"),CONCATENATE("R",'Mapa final'!$A$60),"")</f>
        <v/>
      </c>
      <c r="AE44" s="270"/>
      <c r="AF44" s="270" t="str">
        <f>IF(AND('Mapa final'!$H$66="Muy Baja",'Mapa final'!$L$66="Mayor"),CONCATENATE("R",'Mapa final'!$A$66),"")</f>
        <v/>
      </c>
      <c r="AG44" s="271"/>
      <c r="AH44" s="260" t="str">
        <f>IF(AND('Mapa final'!$H$54="Muy Baja",'Mapa final'!$L$54="Catastrófico"),CONCATENATE("R",'Mapa final'!$A$54),"")</f>
        <v/>
      </c>
      <c r="AI44" s="261"/>
      <c r="AJ44" s="261" t="str">
        <f>IF(AND('Mapa final'!$H$60="Muy Baja",'Mapa final'!$L$60="Catastrófico"),CONCATENATE("R",'Mapa final'!$A$60),"")</f>
        <v/>
      </c>
      <c r="AK44" s="261"/>
      <c r="AL44" s="261" t="str">
        <f>IF(AND('Mapa final'!$H$66="Muy Baja",'Mapa final'!$L$66="Catastrófico"),CONCATENATE("R",'Mapa final'!$A$66),"")</f>
        <v/>
      </c>
      <c r="AM44" s="262"/>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289"/>
      <c r="C45" s="289"/>
      <c r="D45" s="290"/>
      <c r="E45" s="285"/>
      <c r="F45" s="286"/>
      <c r="G45" s="286"/>
      <c r="H45" s="286"/>
      <c r="I45" s="287"/>
      <c r="J45" s="245"/>
      <c r="K45" s="246"/>
      <c r="L45" s="246"/>
      <c r="M45" s="246"/>
      <c r="N45" s="246"/>
      <c r="O45" s="247"/>
      <c r="P45" s="245"/>
      <c r="Q45" s="246"/>
      <c r="R45" s="246"/>
      <c r="S45" s="246"/>
      <c r="T45" s="246"/>
      <c r="U45" s="247"/>
      <c r="V45" s="254"/>
      <c r="W45" s="255"/>
      <c r="X45" s="255"/>
      <c r="Y45" s="255"/>
      <c r="Z45" s="255"/>
      <c r="AA45" s="256"/>
      <c r="AB45" s="272"/>
      <c r="AC45" s="273"/>
      <c r="AD45" s="273"/>
      <c r="AE45" s="273"/>
      <c r="AF45" s="273"/>
      <c r="AG45" s="274"/>
      <c r="AH45" s="263"/>
      <c r="AI45" s="264"/>
      <c r="AJ45" s="264"/>
      <c r="AK45" s="264"/>
      <c r="AL45" s="264"/>
      <c r="AM45" s="265"/>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279" t="s">
        <v>112</v>
      </c>
      <c r="K46" s="280"/>
      <c r="L46" s="280"/>
      <c r="M46" s="280"/>
      <c r="N46" s="280"/>
      <c r="O46" s="281"/>
      <c r="P46" s="279" t="s">
        <v>111</v>
      </c>
      <c r="Q46" s="280"/>
      <c r="R46" s="280"/>
      <c r="S46" s="280"/>
      <c r="T46" s="280"/>
      <c r="U46" s="281"/>
      <c r="V46" s="279" t="s">
        <v>110</v>
      </c>
      <c r="W46" s="280"/>
      <c r="X46" s="280"/>
      <c r="Y46" s="280"/>
      <c r="Z46" s="280"/>
      <c r="AA46" s="281"/>
      <c r="AB46" s="279" t="s">
        <v>109</v>
      </c>
      <c r="AC46" s="288"/>
      <c r="AD46" s="280"/>
      <c r="AE46" s="280"/>
      <c r="AF46" s="280"/>
      <c r="AG46" s="281"/>
      <c r="AH46" s="279" t="s">
        <v>108</v>
      </c>
      <c r="AI46" s="280"/>
      <c r="AJ46" s="280"/>
      <c r="AK46" s="280"/>
      <c r="AL46" s="280"/>
      <c r="AM46" s="2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282"/>
      <c r="K47" s="283"/>
      <c r="L47" s="283"/>
      <c r="M47" s="283"/>
      <c r="N47" s="283"/>
      <c r="O47" s="284"/>
      <c r="P47" s="282"/>
      <c r="Q47" s="283"/>
      <c r="R47" s="283"/>
      <c r="S47" s="283"/>
      <c r="T47" s="283"/>
      <c r="U47" s="284"/>
      <c r="V47" s="282"/>
      <c r="W47" s="283"/>
      <c r="X47" s="283"/>
      <c r="Y47" s="283"/>
      <c r="Z47" s="283"/>
      <c r="AA47" s="284"/>
      <c r="AB47" s="282"/>
      <c r="AC47" s="283"/>
      <c r="AD47" s="283"/>
      <c r="AE47" s="283"/>
      <c r="AF47" s="283"/>
      <c r="AG47" s="284"/>
      <c r="AH47" s="282"/>
      <c r="AI47" s="283"/>
      <c r="AJ47" s="283"/>
      <c r="AK47" s="283"/>
      <c r="AL47" s="283"/>
      <c r="AM47" s="284"/>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282"/>
      <c r="K48" s="283"/>
      <c r="L48" s="283"/>
      <c r="M48" s="283"/>
      <c r="N48" s="283"/>
      <c r="O48" s="284"/>
      <c r="P48" s="282"/>
      <c r="Q48" s="283"/>
      <c r="R48" s="283"/>
      <c r="S48" s="283"/>
      <c r="T48" s="283"/>
      <c r="U48" s="284"/>
      <c r="V48" s="282"/>
      <c r="W48" s="283"/>
      <c r="X48" s="283"/>
      <c r="Y48" s="283"/>
      <c r="Z48" s="283"/>
      <c r="AA48" s="284"/>
      <c r="AB48" s="282"/>
      <c r="AC48" s="283"/>
      <c r="AD48" s="283"/>
      <c r="AE48" s="283"/>
      <c r="AF48" s="283"/>
      <c r="AG48" s="284"/>
      <c r="AH48" s="282"/>
      <c r="AI48" s="283"/>
      <c r="AJ48" s="283"/>
      <c r="AK48" s="283"/>
      <c r="AL48" s="283"/>
      <c r="AM48" s="284"/>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282"/>
      <c r="K49" s="283"/>
      <c r="L49" s="283"/>
      <c r="M49" s="283"/>
      <c r="N49" s="283"/>
      <c r="O49" s="284"/>
      <c r="P49" s="282"/>
      <c r="Q49" s="283"/>
      <c r="R49" s="283"/>
      <c r="S49" s="283"/>
      <c r="T49" s="283"/>
      <c r="U49" s="284"/>
      <c r="V49" s="282"/>
      <c r="W49" s="283"/>
      <c r="X49" s="283"/>
      <c r="Y49" s="283"/>
      <c r="Z49" s="283"/>
      <c r="AA49" s="284"/>
      <c r="AB49" s="282"/>
      <c r="AC49" s="283"/>
      <c r="AD49" s="283"/>
      <c r="AE49" s="283"/>
      <c r="AF49" s="283"/>
      <c r="AG49" s="284"/>
      <c r="AH49" s="282"/>
      <c r="AI49" s="283"/>
      <c r="AJ49" s="283"/>
      <c r="AK49" s="283"/>
      <c r="AL49" s="283"/>
      <c r="AM49" s="284"/>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282"/>
      <c r="K50" s="283"/>
      <c r="L50" s="283"/>
      <c r="M50" s="283"/>
      <c r="N50" s="283"/>
      <c r="O50" s="284"/>
      <c r="P50" s="282"/>
      <c r="Q50" s="283"/>
      <c r="R50" s="283"/>
      <c r="S50" s="283"/>
      <c r="T50" s="283"/>
      <c r="U50" s="284"/>
      <c r="V50" s="282"/>
      <c r="W50" s="283"/>
      <c r="X50" s="283"/>
      <c r="Y50" s="283"/>
      <c r="Z50" s="283"/>
      <c r="AA50" s="284"/>
      <c r="AB50" s="282"/>
      <c r="AC50" s="283"/>
      <c r="AD50" s="283"/>
      <c r="AE50" s="283"/>
      <c r="AF50" s="283"/>
      <c r="AG50" s="284"/>
      <c r="AH50" s="282"/>
      <c r="AI50" s="283"/>
      <c r="AJ50" s="283"/>
      <c r="AK50" s="283"/>
      <c r="AL50" s="283"/>
      <c r="AM50" s="284"/>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285"/>
      <c r="K51" s="286"/>
      <c r="L51" s="286"/>
      <c r="M51" s="286"/>
      <c r="N51" s="286"/>
      <c r="O51" s="287"/>
      <c r="P51" s="285"/>
      <c r="Q51" s="286"/>
      <c r="R51" s="286"/>
      <c r="S51" s="286"/>
      <c r="T51" s="286"/>
      <c r="U51" s="287"/>
      <c r="V51" s="285"/>
      <c r="W51" s="286"/>
      <c r="X51" s="286"/>
      <c r="Y51" s="286"/>
      <c r="Z51" s="286"/>
      <c r="AA51" s="287"/>
      <c r="AB51" s="285"/>
      <c r="AC51" s="286"/>
      <c r="AD51" s="286"/>
      <c r="AE51" s="286"/>
      <c r="AF51" s="286"/>
      <c r="AG51" s="287"/>
      <c r="AH51" s="285"/>
      <c r="AI51" s="286"/>
      <c r="AJ51" s="286"/>
      <c r="AK51" s="286"/>
      <c r="AL51" s="286"/>
      <c r="AM51" s="287"/>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356" t="s">
        <v>160</v>
      </c>
      <c r="C2" s="357"/>
      <c r="D2" s="357"/>
      <c r="E2" s="357"/>
      <c r="F2" s="357"/>
      <c r="G2" s="357"/>
      <c r="H2" s="357"/>
      <c r="I2" s="357"/>
      <c r="J2" s="278" t="s">
        <v>2</v>
      </c>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357"/>
      <c r="C3" s="357"/>
      <c r="D3" s="357"/>
      <c r="E3" s="357"/>
      <c r="F3" s="357"/>
      <c r="G3" s="357"/>
      <c r="H3" s="357"/>
      <c r="I3" s="357"/>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357"/>
      <c r="C4" s="357"/>
      <c r="D4" s="357"/>
      <c r="E4" s="357"/>
      <c r="F4" s="357"/>
      <c r="G4" s="357"/>
      <c r="H4" s="357"/>
      <c r="I4" s="357"/>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289" t="s">
        <v>4</v>
      </c>
      <c r="C6" s="289"/>
      <c r="D6" s="290"/>
      <c r="E6" s="327" t="s">
        <v>116</v>
      </c>
      <c r="F6" s="328"/>
      <c r="G6" s="328"/>
      <c r="H6" s="328"/>
      <c r="I6" s="329"/>
      <c r="J6" s="44" t="str">
        <f>IF(AND('Mapa final'!$Y$10="Muy Alta",'Mapa final'!$AA$10="Leve"),CONCATENATE("R1C",'Mapa final'!$O$10),"")</f>
        <v/>
      </c>
      <c r="K6" s="45" t="str">
        <f>IF(AND('Mapa final'!$Y$11="Muy Alta",'Mapa final'!$AA$11="Leve"),CONCATENATE("R1C",'Mapa final'!$O$11),"")</f>
        <v/>
      </c>
      <c r="L6" s="45" t="str">
        <f>IF(AND('Mapa final'!$Y$12="Muy Alta",'Mapa final'!$AA$12="Leve"),CONCATENATE("R1C",'Mapa final'!$O$12),"")</f>
        <v/>
      </c>
      <c r="M6" s="45" t="str">
        <f>IF(AND('Mapa final'!$Y$13="Muy Alta",'Mapa final'!$AA$13="Leve"),CONCATENATE("R1C",'Mapa final'!$O$13),"")</f>
        <v/>
      </c>
      <c r="N6" s="45" t="e">
        <f>IF(AND('Mapa final'!#REF!="Muy Alta",'Mapa final'!#REF!="Leve"),CONCATENATE("R1C",'Mapa final'!#REF!),"")</f>
        <v>#REF!</v>
      </c>
      <c r="O6" s="46" t="e">
        <f>IF(AND('Mapa final'!#REF!="Muy Alta",'Mapa final'!#REF!="Leve"),CONCATENATE("R1C",'Mapa final'!#REF!),"")</f>
        <v>#REF!</v>
      </c>
      <c r="P6" s="44" t="str">
        <f>IF(AND('Mapa final'!$Y$10="Muy Alta",'Mapa final'!$AA$10="Menor"),CONCATENATE("R1C",'Mapa final'!$O$10),"")</f>
        <v/>
      </c>
      <c r="Q6" s="45" t="str">
        <f>IF(AND('Mapa final'!$Y$11="Muy Alta",'Mapa final'!$AA$11="Menor"),CONCATENATE("R1C",'Mapa final'!$O$11),"")</f>
        <v/>
      </c>
      <c r="R6" s="45" t="str">
        <f>IF(AND('Mapa final'!$Y$12="Muy Alta",'Mapa final'!$AA$12="Menor"),CONCATENATE("R1C",'Mapa final'!$O$12),"")</f>
        <v/>
      </c>
      <c r="S6" s="45" t="str">
        <f>IF(AND('Mapa final'!$Y$13="Muy Alta",'Mapa final'!$AA$13="Menor"),CONCATENATE("R1C",'Mapa final'!$O$13),"")</f>
        <v/>
      </c>
      <c r="T6" s="45" t="e">
        <f>IF(AND('Mapa final'!#REF!="Muy Alta",'Mapa final'!#REF!="Menor"),CONCATENATE("R1C",'Mapa final'!#REF!),"")</f>
        <v>#REF!</v>
      </c>
      <c r="U6" s="46" t="e">
        <f>IF(AND('Mapa final'!#REF!="Muy Alta",'Mapa final'!#REF!="Menor"),CONCATENATE("R1C",'Mapa final'!#REF!),"")</f>
        <v>#REF!</v>
      </c>
      <c r="V6" s="44" t="str">
        <f>IF(AND('Mapa final'!$Y$10="Muy Alta",'Mapa final'!$AA$10="Moderado"),CONCATENATE("R1C",'Mapa final'!$O$10),"")</f>
        <v/>
      </c>
      <c r="W6" s="45" t="str">
        <f>IF(AND('Mapa final'!$Y$11="Muy Alta",'Mapa final'!$AA$11="Moderado"),CONCATENATE("R1C",'Mapa final'!$O$11),"")</f>
        <v/>
      </c>
      <c r="X6" s="45" t="str">
        <f>IF(AND('Mapa final'!$Y$12="Muy Alta",'Mapa final'!$AA$12="Moderado"),CONCATENATE("R1C",'Mapa final'!$O$12),"")</f>
        <v/>
      </c>
      <c r="Y6" s="45" t="str">
        <f>IF(AND('Mapa final'!$Y$13="Muy Alta",'Mapa final'!$AA$13="Moderado"),CONCATENATE("R1C",'Mapa final'!$O$13),"")</f>
        <v/>
      </c>
      <c r="Z6" s="45" t="e">
        <f>IF(AND('Mapa final'!#REF!="Muy Alta",'Mapa final'!#REF!="Moderado"),CONCATENATE("R1C",'Mapa final'!#REF!),"")</f>
        <v>#REF!</v>
      </c>
      <c r="AA6" s="46" t="e">
        <f>IF(AND('Mapa final'!#REF!="Muy Alta",'Mapa final'!#REF!="Moderado"),CONCATENATE("R1C",'Mapa final'!#REF!),"")</f>
        <v>#REF!</v>
      </c>
      <c r="AB6" s="44" t="str">
        <f>IF(AND('Mapa final'!$Y$10="Muy Alta",'Mapa final'!$AA$10="Mayor"),CONCATENATE("R1C",'Mapa final'!$O$10),"")</f>
        <v/>
      </c>
      <c r="AC6" s="45" t="str">
        <f>IF(AND('Mapa final'!$Y$11="Muy Alta",'Mapa final'!$AA$11="Mayor"),CONCATENATE("R1C",'Mapa final'!$O$11),"")</f>
        <v/>
      </c>
      <c r="AD6" s="45" t="str">
        <f>IF(AND('Mapa final'!$Y$12="Muy Alta",'Mapa final'!$AA$12="Mayor"),CONCATENATE("R1C",'Mapa final'!$O$12),"")</f>
        <v/>
      </c>
      <c r="AE6" s="45" t="str">
        <f>IF(AND('Mapa final'!$Y$13="Muy Alta",'Mapa final'!$AA$13="Mayor"),CONCATENATE("R1C",'Mapa final'!$O$13),"")</f>
        <v/>
      </c>
      <c r="AF6" s="45" t="e">
        <f>IF(AND('Mapa final'!#REF!="Muy Alta",'Mapa final'!#REF!="Mayor"),CONCATENATE("R1C",'Mapa final'!#REF!),"")</f>
        <v>#REF!</v>
      </c>
      <c r="AG6" s="46" t="e">
        <f>IF(AND('Mapa final'!#REF!="Muy Alta",'Mapa final'!#REF!="Mayor"),CONCATENATE("R1C",'Mapa final'!#REF!),"")</f>
        <v>#REF!</v>
      </c>
      <c r="AH6" s="47" t="str">
        <f>IF(AND('Mapa final'!$Y$10="Muy Alta",'Mapa final'!$AA$10="Catastrófico"),CONCATENATE("R1C",'Mapa final'!$O$10),"")</f>
        <v/>
      </c>
      <c r="AI6" s="48" t="str">
        <f>IF(AND('Mapa final'!$Y$11="Muy Alta",'Mapa final'!$AA$11="Catastrófico"),CONCATENATE("R1C",'Mapa final'!$O$11),"")</f>
        <v/>
      </c>
      <c r="AJ6" s="48" t="str">
        <f>IF(AND('Mapa final'!$Y$12="Muy Alta",'Mapa final'!$AA$12="Catastrófico"),CONCATENATE("R1C",'Mapa final'!$O$12),"")</f>
        <v/>
      </c>
      <c r="AK6" s="48" t="str">
        <f>IF(AND('Mapa final'!$Y$13="Muy Alta",'Mapa final'!$AA$13="Catastrófico"),CONCATENATE("R1C",'Mapa final'!$O$13),"")</f>
        <v/>
      </c>
      <c r="AL6" s="48" t="e">
        <f>IF(AND('Mapa final'!#REF!="Muy Alta",'Mapa final'!#REF!="Catastrófico"),CONCATENATE("R1C",'Mapa final'!#REF!),"")</f>
        <v>#REF!</v>
      </c>
      <c r="AM6" s="49" t="e">
        <f>IF(AND('Mapa final'!#REF!="Muy Alta",'Mapa final'!#REF!="Catastrófico"),CONCATENATE("R1C",'Mapa final'!#REF!),"")</f>
        <v>#REF!</v>
      </c>
      <c r="AN6" s="81"/>
      <c r="AO6" s="347" t="s">
        <v>79</v>
      </c>
      <c r="AP6" s="348"/>
      <c r="AQ6" s="348"/>
      <c r="AR6" s="348"/>
      <c r="AS6" s="348"/>
      <c r="AT6" s="349"/>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289"/>
      <c r="C7" s="289"/>
      <c r="D7" s="290"/>
      <c r="E7" s="330"/>
      <c r="F7" s="331"/>
      <c r="G7" s="331"/>
      <c r="H7" s="331"/>
      <c r="I7" s="332"/>
      <c r="J7" s="50" t="str">
        <f>IF(AND('Mapa final'!$Y$14="Muy Alta",'Mapa final'!$AA$14="Leve"),CONCATENATE("R2C",'Mapa final'!$O$14),"")</f>
        <v/>
      </c>
      <c r="K7" s="51" t="str">
        <f>IF(AND('Mapa final'!$Y$15="Muy Alta",'Mapa final'!$AA$15="Leve"),CONCATENATE("R2C",'Mapa final'!$O$15),"")</f>
        <v/>
      </c>
      <c r="L7" s="51" t="str">
        <f>IF(AND('Mapa final'!$Y$16="Muy Alta",'Mapa final'!$AA$16="Leve"),CONCATENATE("R2C",'Mapa final'!$O$16),"")</f>
        <v/>
      </c>
      <c r="M7" s="51" t="str">
        <f>IF(AND('Mapa final'!$Y$17="Muy Alta",'Mapa final'!$AA$17="Leve"),CONCATENATE("R2C",'Mapa final'!$O$17),"")</f>
        <v/>
      </c>
      <c r="N7" s="51" t="e">
        <f>IF(AND('Mapa final'!#REF!="Muy Alta",'Mapa final'!#REF!="Leve"),CONCATENATE("R2C",'Mapa final'!#REF!),"")</f>
        <v>#REF!</v>
      </c>
      <c r="O7" s="52" t="e">
        <f>IF(AND('Mapa final'!#REF!="Muy Alta",'Mapa final'!#REF!="Leve"),CONCATENATE("R2C",'Mapa final'!#REF!),"")</f>
        <v>#REF!</v>
      </c>
      <c r="P7" s="50" t="str">
        <f>IF(AND('Mapa final'!$Y$14="Muy Alta",'Mapa final'!$AA$14="Menor"),CONCATENATE("R2C",'Mapa final'!$O$14),"")</f>
        <v/>
      </c>
      <c r="Q7" s="51" t="str">
        <f>IF(AND('Mapa final'!$Y$15="Muy Alta",'Mapa final'!$AA$15="Menor"),CONCATENATE("R2C",'Mapa final'!$O$15),"")</f>
        <v/>
      </c>
      <c r="R7" s="51" t="str">
        <f>IF(AND('Mapa final'!$Y$16="Muy Alta",'Mapa final'!$AA$16="Menor"),CONCATENATE("R2C",'Mapa final'!$O$16),"")</f>
        <v/>
      </c>
      <c r="S7" s="51" t="str">
        <f>IF(AND('Mapa final'!$Y$17="Muy Alta",'Mapa final'!$AA$17="Menor"),CONCATENATE("R2C",'Mapa final'!$O$17),"")</f>
        <v/>
      </c>
      <c r="T7" s="51" t="e">
        <f>IF(AND('Mapa final'!#REF!="Muy Alta",'Mapa final'!#REF!="Menor"),CONCATENATE("R2C",'Mapa final'!#REF!),"")</f>
        <v>#REF!</v>
      </c>
      <c r="U7" s="52" t="e">
        <f>IF(AND('Mapa final'!#REF!="Muy Alta",'Mapa final'!#REF!="Menor"),CONCATENATE("R2C",'Mapa final'!#REF!),"")</f>
        <v>#REF!</v>
      </c>
      <c r="V7" s="50" t="str">
        <f>IF(AND('Mapa final'!$Y$14="Muy Alta",'Mapa final'!$AA$14="Moderado"),CONCATENATE("R2C",'Mapa final'!$O$14),"")</f>
        <v/>
      </c>
      <c r="W7" s="51" t="str">
        <f>IF(AND('Mapa final'!$Y$15="Muy Alta",'Mapa final'!$AA$15="Moderado"),CONCATENATE("R2C",'Mapa final'!$O$15),"")</f>
        <v/>
      </c>
      <c r="X7" s="51" t="str">
        <f>IF(AND('Mapa final'!$Y$16="Muy Alta",'Mapa final'!$AA$16="Moderado"),CONCATENATE("R2C",'Mapa final'!$O$16),"")</f>
        <v/>
      </c>
      <c r="Y7" s="51" t="str">
        <f>IF(AND('Mapa final'!$Y$17="Muy Alta",'Mapa final'!$AA$17="Moderado"),CONCATENATE("R2C",'Mapa final'!$O$17),"")</f>
        <v/>
      </c>
      <c r="Z7" s="51" t="e">
        <f>IF(AND('Mapa final'!#REF!="Muy Alta",'Mapa final'!#REF!="Moderado"),CONCATENATE("R2C",'Mapa final'!#REF!),"")</f>
        <v>#REF!</v>
      </c>
      <c r="AA7" s="52" t="e">
        <f>IF(AND('Mapa final'!#REF!="Muy Alta",'Mapa final'!#REF!="Moderado"),CONCATENATE("R2C",'Mapa final'!#REF!),"")</f>
        <v>#REF!</v>
      </c>
      <c r="AB7" s="50" t="str">
        <f>IF(AND('Mapa final'!$Y$14="Muy Alta",'Mapa final'!$AA$14="Mayor"),CONCATENATE("R2C",'Mapa final'!$O$14),"")</f>
        <v/>
      </c>
      <c r="AC7" s="51" t="str">
        <f>IF(AND('Mapa final'!$Y$15="Muy Alta",'Mapa final'!$AA$15="Mayor"),CONCATENATE("R2C",'Mapa final'!$O$15),"")</f>
        <v/>
      </c>
      <c r="AD7" s="51" t="str">
        <f>IF(AND('Mapa final'!$Y$16="Muy Alta",'Mapa final'!$AA$16="Mayor"),CONCATENATE("R2C",'Mapa final'!$O$16),"")</f>
        <v/>
      </c>
      <c r="AE7" s="51" t="str">
        <f>IF(AND('Mapa final'!$Y$17="Muy Alta",'Mapa final'!$AA$17="Mayor"),CONCATENATE("R2C",'Mapa final'!$O$17),"")</f>
        <v/>
      </c>
      <c r="AF7" s="51" t="e">
        <f>IF(AND('Mapa final'!#REF!="Muy Alta",'Mapa final'!#REF!="Mayor"),CONCATENATE("R2C",'Mapa final'!#REF!),"")</f>
        <v>#REF!</v>
      </c>
      <c r="AG7" s="52" t="e">
        <f>IF(AND('Mapa final'!#REF!="Muy Alta",'Mapa final'!#REF!="Mayor"),CONCATENATE("R2C",'Mapa final'!#REF!),"")</f>
        <v>#REF!</v>
      </c>
      <c r="AH7" s="53" t="str">
        <f>IF(AND('Mapa final'!$Y$14="Muy Alta",'Mapa final'!$AA$14="Catastrófico"),CONCATENATE("R2C",'Mapa final'!$O$14),"")</f>
        <v/>
      </c>
      <c r="AI7" s="54" t="str">
        <f>IF(AND('Mapa final'!$Y$15="Muy Alta",'Mapa final'!$AA$15="Catastrófico"),CONCATENATE("R2C",'Mapa final'!$O$15),"")</f>
        <v/>
      </c>
      <c r="AJ7" s="54" t="str">
        <f>IF(AND('Mapa final'!$Y$16="Muy Alta",'Mapa final'!$AA$16="Catastrófico"),CONCATENATE("R2C",'Mapa final'!$O$16),"")</f>
        <v/>
      </c>
      <c r="AK7" s="54" t="str">
        <f>IF(AND('Mapa final'!$Y$17="Muy Alta",'Mapa final'!$AA$17="Catastrófico"),CONCATENATE("R2C",'Mapa final'!$O$17),"")</f>
        <v/>
      </c>
      <c r="AL7" s="54" t="e">
        <f>IF(AND('Mapa final'!#REF!="Muy Alta",'Mapa final'!#REF!="Catastrófico"),CONCATENATE("R2C",'Mapa final'!#REF!),"")</f>
        <v>#REF!</v>
      </c>
      <c r="AM7" s="55" t="e">
        <f>IF(AND('Mapa final'!#REF!="Muy Alta",'Mapa final'!#REF!="Catastrófico"),CONCATENATE("R2C",'Mapa final'!#REF!),"")</f>
        <v>#REF!</v>
      </c>
      <c r="AN7" s="81"/>
      <c r="AO7" s="350"/>
      <c r="AP7" s="351"/>
      <c r="AQ7" s="351"/>
      <c r="AR7" s="351"/>
      <c r="AS7" s="351"/>
      <c r="AT7" s="352"/>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289"/>
      <c r="C8" s="289"/>
      <c r="D8" s="290"/>
      <c r="E8" s="330"/>
      <c r="F8" s="331"/>
      <c r="G8" s="331"/>
      <c r="H8" s="331"/>
      <c r="I8" s="332"/>
      <c r="J8" s="50" t="str">
        <f>IF(AND('Mapa final'!$Y$18="Muy Alta",'Mapa final'!$AA$18="Leve"),CONCATENATE("R3C",'Mapa final'!$O$18),"")</f>
        <v/>
      </c>
      <c r="K8" s="51" t="str">
        <f>IF(AND('Mapa final'!$Y$19="Muy Alta",'Mapa final'!$AA$19="Leve"),CONCATENATE("R3C",'Mapa final'!$O$19),"")</f>
        <v/>
      </c>
      <c r="L8" s="51" t="e">
        <f>IF(AND('Mapa final'!#REF!="Muy Alta",'Mapa final'!#REF!="Leve"),CONCATENATE("R3C",'Mapa final'!#REF!),"")</f>
        <v>#REF!</v>
      </c>
      <c r="M8" s="51" t="e">
        <f>IF(AND('Mapa final'!#REF!="Muy Alta",'Mapa final'!#REF!="Leve"),CONCATENATE("R3C",'Mapa final'!#REF!),"")</f>
        <v>#REF!</v>
      </c>
      <c r="N8" s="51" t="e">
        <f>IF(AND('Mapa final'!#REF!="Muy Alta",'Mapa final'!#REF!="Leve"),CONCATENATE("R3C",'Mapa final'!#REF!),"")</f>
        <v>#REF!</v>
      </c>
      <c r="O8" s="52" t="e">
        <f>IF(AND('Mapa final'!#REF!="Muy Alta",'Mapa final'!#REF!="Leve"),CONCATENATE("R3C",'Mapa final'!#REF!),"")</f>
        <v>#REF!</v>
      </c>
      <c r="P8" s="50" t="str">
        <f>IF(AND('Mapa final'!$Y$18="Muy Alta",'Mapa final'!$AA$18="Menor"),CONCATENATE("R3C",'Mapa final'!$O$18),"")</f>
        <v/>
      </c>
      <c r="Q8" s="51" t="str">
        <f>IF(AND('Mapa final'!$Y$19="Muy Alta",'Mapa final'!$AA$19="Menor"),CONCATENATE("R3C",'Mapa final'!$O$19),"")</f>
        <v/>
      </c>
      <c r="R8" s="51" t="e">
        <f>IF(AND('Mapa final'!#REF!="Muy Alta",'Mapa final'!#REF!="Menor"),CONCATENATE("R3C",'Mapa final'!#REF!),"")</f>
        <v>#REF!</v>
      </c>
      <c r="S8" s="51" t="e">
        <f>IF(AND('Mapa final'!#REF!="Muy Alta",'Mapa final'!#REF!="Menor"),CONCATENATE("R3C",'Mapa final'!#REF!),"")</f>
        <v>#REF!</v>
      </c>
      <c r="T8" s="51" t="e">
        <f>IF(AND('Mapa final'!#REF!="Muy Alta",'Mapa final'!#REF!="Menor"),CONCATENATE("R3C",'Mapa final'!#REF!),"")</f>
        <v>#REF!</v>
      </c>
      <c r="U8" s="52" t="e">
        <f>IF(AND('Mapa final'!#REF!="Muy Alta",'Mapa final'!#REF!="Menor"),CONCATENATE("R3C",'Mapa final'!#REF!),"")</f>
        <v>#REF!</v>
      </c>
      <c r="V8" s="50" t="str">
        <f>IF(AND('Mapa final'!$Y$18="Muy Alta",'Mapa final'!$AA$18="Moderado"),CONCATENATE("R3C",'Mapa final'!$O$18),"")</f>
        <v/>
      </c>
      <c r="W8" s="51" t="str">
        <f>IF(AND('Mapa final'!$Y$19="Muy Alta",'Mapa final'!$AA$19="Moderado"),CONCATENATE("R3C",'Mapa final'!$O$19),"")</f>
        <v/>
      </c>
      <c r="X8" s="51" t="e">
        <f>IF(AND('Mapa final'!#REF!="Muy Alta",'Mapa final'!#REF!="Moderado"),CONCATENATE("R3C",'Mapa final'!#REF!),"")</f>
        <v>#REF!</v>
      </c>
      <c r="Y8" s="51" t="e">
        <f>IF(AND('Mapa final'!#REF!="Muy Alta",'Mapa final'!#REF!="Moderado"),CONCATENATE("R3C",'Mapa final'!#REF!),"")</f>
        <v>#REF!</v>
      </c>
      <c r="Z8" s="51" t="e">
        <f>IF(AND('Mapa final'!#REF!="Muy Alta",'Mapa final'!#REF!="Moderado"),CONCATENATE("R3C",'Mapa final'!#REF!),"")</f>
        <v>#REF!</v>
      </c>
      <c r="AA8" s="52" t="e">
        <f>IF(AND('Mapa final'!#REF!="Muy Alta",'Mapa final'!#REF!="Moderado"),CONCATENATE("R3C",'Mapa final'!#REF!),"")</f>
        <v>#REF!</v>
      </c>
      <c r="AB8" s="50" t="str">
        <f>IF(AND('Mapa final'!$Y$18="Muy Alta",'Mapa final'!$AA$18="Mayor"),CONCATENATE("R3C",'Mapa final'!$O$18),"")</f>
        <v/>
      </c>
      <c r="AC8" s="51" t="str">
        <f>IF(AND('Mapa final'!$Y$19="Muy Alta",'Mapa final'!$AA$19="Mayor"),CONCATENATE("R3C",'Mapa final'!$O$19),"")</f>
        <v/>
      </c>
      <c r="AD8" s="51" t="e">
        <f>IF(AND('Mapa final'!#REF!="Muy Alta",'Mapa final'!#REF!="Mayor"),CONCATENATE("R3C",'Mapa final'!#REF!),"")</f>
        <v>#REF!</v>
      </c>
      <c r="AE8" s="51" t="e">
        <f>IF(AND('Mapa final'!#REF!="Muy Alta",'Mapa final'!#REF!="Mayor"),CONCATENATE("R3C",'Mapa final'!#REF!),"")</f>
        <v>#REF!</v>
      </c>
      <c r="AF8" s="51" t="e">
        <f>IF(AND('Mapa final'!#REF!="Muy Alta",'Mapa final'!#REF!="Mayor"),CONCATENATE("R3C",'Mapa final'!#REF!),"")</f>
        <v>#REF!</v>
      </c>
      <c r="AG8" s="52" t="e">
        <f>IF(AND('Mapa final'!#REF!="Muy Alta",'Mapa final'!#REF!="Mayor"),CONCATENATE("R3C",'Mapa final'!#REF!),"")</f>
        <v>#REF!</v>
      </c>
      <c r="AH8" s="53" t="str">
        <f>IF(AND('Mapa final'!$Y$18="Muy Alta",'Mapa final'!$AA$18="Catastrófico"),CONCATENATE("R3C",'Mapa final'!$O$18),"")</f>
        <v/>
      </c>
      <c r="AI8" s="54" t="str">
        <f>IF(AND('Mapa final'!$Y$19="Muy Alta",'Mapa final'!$AA$19="Catastrófico"),CONCATENATE("R3C",'Mapa final'!$O$19),"")</f>
        <v/>
      </c>
      <c r="AJ8" s="54" t="e">
        <f>IF(AND('Mapa final'!#REF!="Muy Alta",'Mapa final'!#REF!="Catastrófico"),CONCATENATE("R3C",'Mapa final'!#REF!),"")</f>
        <v>#REF!</v>
      </c>
      <c r="AK8" s="54" t="e">
        <f>IF(AND('Mapa final'!#REF!="Muy Alta",'Mapa final'!#REF!="Catastrófico"),CONCATENATE("R3C",'Mapa final'!#REF!),"")</f>
        <v>#REF!</v>
      </c>
      <c r="AL8" s="54" t="e">
        <f>IF(AND('Mapa final'!#REF!="Muy Alta",'Mapa final'!#REF!="Catastrófico"),CONCATENATE("R3C",'Mapa final'!#REF!),"")</f>
        <v>#REF!</v>
      </c>
      <c r="AM8" s="55" t="e">
        <f>IF(AND('Mapa final'!#REF!="Muy Alta",'Mapa final'!#REF!="Catastrófico"),CONCATENATE("R3C",'Mapa final'!#REF!),"")</f>
        <v>#REF!</v>
      </c>
      <c r="AN8" s="81"/>
      <c r="AO8" s="350"/>
      <c r="AP8" s="351"/>
      <c r="AQ8" s="351"/>
      <c r="AR8" s="351"/>
      <c r="AS8" s="351"/>
      <c r="AT8" s="352"/>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289"/>
      <c r="C9" s="289"/>
      <c r="D9" s="290"/>
      <c r="E9" s="330"/>
      <c r="F9" s="331"/>
      <c r="G9" s="331"/>
      <c r="H9" s="331"/>
      <c r="I9" s="332"/>
      <c r="J9" s="50" t="str">
        <f>IF(AND('Mapa final'!$Y$20="Muy Alta",'Mapa final'!$AA$20="Leve"),CONCATENATE("R4C",'Mapa final'!$O$20),"")</f>
        <v/>
      </c>
      <c r="K9" s="51" t="str">
        <f>IF(AND('Mapa final'!$Y$21="Muy Alta",'Mapa final'!$AA$21="Leve"),CONCATENATE("R4C",'Mapa final'!$O$21),"")</f>
        <v/>
      </c>
      <c r="L9" s="51" t="str">
        <f>IF(AND('Mapa final'!$Y$22="Muy Alta",'Mapa final'!$AA$22="Leve"),CONCATENATE("R4C",'Mapa final'!$O$22),"")</f>
        <v/>
      </c>
      <c r="M9" s="51" t="str">
        <f>IF(AND('Mapa final'!$Y$23="Muy Alta",'Mapa final'!$AA$23="Leve"),CONCATENATE("R4C",'Mapa final'!$O$23),"")</f>
        <v/>
      </c>
      <c r="N9" s="51" t="e">
        <f>IF(AND('Mapa final'!#REF!="Muy Alta",'Mapa final'!#REF!="Leve"),CONCATENATE("R4C",'Mapa final'!#REF!),"")</f>
        <v>#REF!</v>
      </c>
      <c r="O9" s="52" t="e">
        <f>IF(AND('Mapa final'!#REF!="Muy Alta",'Mapa final'!#REF!="Leve"),CONCATENATE("R4C",'Mapa final'!#REF!),"")</f>
        <v>#REF!</v>
      </c>
      <c r="P9" s="50" t="str">
        <f>IF(AND('Mapa final'!$Y$20="Muy Alta",'Mapa final'!$AA$20="Menor"),CONCATENATE("R4C",'Mapa final'!$O$20),"")</f>
        <v/>
      </c>
      <c r="Q9" s="51" t="str">
        <f>IF(AND('Mapa final'!$Y$21="Muy Alta",'Mapa final'!$AA$21="Menor"),CONCATENATE("R4C",'Mapa final'!$O$21),"")</f>
        <v/>
      </c>
      <c r="R9" s="51" t="str">
        <f>IF(AND('Mapa final'!$Y$22="Muy Alta",'Mapa final'!$AA$22="Menor"),CONCATENATE("R4C",'Mapa final'!$O$22),"")</f>
        <v/>
      </c>
      <c r="S9" s="51" t="str">
        <f>IF(AND('Mapa final'!$Y$23="Muy Alta",'Mapa final'!$AA$23="Menor"),CONCATENATE("R4C",'Mapa final'!$O$23),"")</f>
        <v/>
      </c>
      <c r="T9" s="51" t="e">
        <f>IF(AND('Mapa final'!#REF!="Muy Alta",'Mapa final'!#REF!="Menor"),CONCATENATE("R4C",'Mapa final'!#REF!),"")</f>
        <v>#REF!</v>
      </c>
      <c r="U9" s="52" t="e">
        <f>IF(AND('Mapa final'!#REF!="Muy Alta",'Mapa final'!#REF!="Menor"),CONCATENATE("R4C",'Mapa final'!#REF!),"")</f>
        <v>#REF!</v>
      </c>
      <c r="V9" s="50" t="str">
        <f>IF(AND('Mapa final'!$Y$20="Muy Alta",'Mapa final'!$AA$20="Moderado"),CONCATENATE("R4C",'Mapa final'!$O$20),"")</f>
        <v/>
      </c>
      <c r="W9" s="51" t="str">
        <f>IF(AND('Mapa final'!$Y$21="Muy Alta",'Mapa final'!$AA$21="Moderado"),CONCATENATE("R4C",'Mapa final'!$O$21),"")</f>
        <v/>
      </c>
      <c r="X9" s="51" t="str">
        <f>IF(AND('Mapa final'!$Y$22="Muy Alta",'Mapa final'!$AA$22="Moderado"),CONCATENATE("R4C",'Mapa final'!$O$22),"")</f>
        <v/>
      </c>
      <c r="Y9" s="51" t="str">
        <f>IF(AND('Mapa final'!$Y$23="Muy Alta",'Mapa final'!$AA$23="Moderado"),CONCATENATE("R4C",'Mapa final'!$O$23),"")</f>
        <v/>
      </c>
      <c r="Z9" s="51" t="e">
        <f>IF(AND('Mapa final'!#REF!="Muy Alta",'Mapa final'!#REF!="Moderado"),CONCATENATE("R4C",'Mapa final'!#REF!),"")</f>
        <v>#REF!</v>
      </c>
      <c r="AA9" s="52" t="e">
        <f>IF(AND('Mapa final'!#REF!="Muy Alta",'Mapa final'!#REF!="Moderado"),CONCATENATE("R4C",'Mapa final'!#REF!),"")</f>
        <v>#REF!</v>
      </c>
      <c r="AB9" s="50" t="str">
        <f>IF(AND('Mapa final'!$Y$20="Muy Alta",'Mapa final'!$AA$20="Mayor"),CONCATENATE("R4C",'Mapa final'!$O$20),"")</f>
        <v/>
      </c>
      <c r="AC9" s="51" t="str">
        <f>IF(AND('Mapa final'!$Y$21="Muy Alta",'Mapa final'!$AA$21="Mayor"),CONCATENATE("R4C",'Mapa final'!$O$21),"")</f>
        <v/>
      </c>
      <c r="AD9" s="51" t="str">
        <f>IF(AND('Mapa final'!$Y$22="Muy Alta",'Mapa final'!$AA$22="Mayor"),CONCATENATE("R4C",'Mapa final'!$O$22),"")</f>
        <v/>
      </c>
      <c r="AE9" s="51" t="str">
        <f>IF(AND('Mapa final'!$Y$23="Muy Alta",'Mapa final'!$AA$23="Mayor"),CONCATENATE("R4C",'Mapa final'!$O$23),"")</f>
        <v/>
      </c>
      <c r="AF9" s="51" t="e">
        <f>IF(AND('Mapa final'!#REF!="Muy Alta",'Mapa final'!#REF!="Mayor"),CONCATENATE("R4C",'Mapa final'!#REF!),"")</f>
        <v>#REF!</v>
      </c>
      <c r="AG9" s="52" t="e">
        <f>IF(AND('Mapa final'!#REF!="Muy Alta",'Mapa final'!#REF!="Mayor"),CONCATENATE("R4C",'Mapa final'!#REF!),"")</f>
        <v>#REF!</v>
      </c>
      <c r="AH9" s="53" t="str">
        <f>IF(AND('Mapa final'!$Y$20="Muy Alta",'Mapa final'!$AA$20="Catastrófico"),CONCATENATE("R4C",'Mapa final'!$O$20),"")</f>
        <v/>
      </c>
      <c r="AI9" s="54" t="str">
        <f>IF(AND('Mapa final'!$Y$21="Muy Alta",'Mapa final'!$AA$21="Catastrófico"),CONCATENATE("R4C",'Mapa final'!$O$21),"")</f>
        <v/>
      </c>
      <c r="AJ9" s="54" t="str">
        <f>IF(AND('Mapa final'!$Y$22="Muy Alta",'Mapa final'!$AA$22="Catastrófico"),CONCATENATE("R4C",'Mapa final'!$O$22),"")</f>
        <v/>
      </c>
      <c r="AK9" s="54" t="str">
        <f>IF(AND('Mapa final'!$Y$23="Muy Alta",'Mapa final'!$AA$23="Catastrófico"),CONCATENATE("R4C",'Mapa final'!$O$23),"")</f>
        <v/>
      </c>
      <c r="AL9" s="54" t="e">
        <f>IF(AND('Mapa final'!#REF!="Muy Alta",'Mapa final'!#REF!="Catastrófico"),CONCATENATE("R4C",'Mapa final'!#REF!),"")</f>
        <v>#REF!</v>
      </c>
      <c r="AM9" s="55" t="e">
        <f>IF(AND('Mapa final'!#REF!="Muy Alta",'Mapa final'!#REF!="Catastrófico"),CONCATENATE("R4C",'Mapa final'!#REF!),"")</f>
        <v>#REF!</v>
      </c>
      <c r="AN9" s="81"/>
      <c r="AO9" s="350"/>
      <c r="AP9" s="351"/>
      <c r="AQ9" s="351"/>
      <c r="AR9" s="351"/>
      <c r="AS9" s="351"/>
      <c r="AT9" s="352"/>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289"/>
      <c r="C10" s="289"/>
      <c r="D10" s="290"/>
      <c r="E10" s="330"/>
      <c r="F10" s="331"/>
      <c r="G10" s="331"/>
      <c r="H10" s="331"/>
      <c r="I10" s="332"/>
      <c r="J10" s="50" t="str">
        <f>IF(AND('Mapa final'!$Y$24="Muy Alta",'Mapa final'!$AA$24="Leve"),CONCATENATE("R5C",'Mapa final'!$O$24),"")</f>
        <v/>
      </c>
      <c r="K10" s="51" t="str">
        <f>IF(AND('Mapa final'!$Y$25="Muy Alta",'Mapa final'!$AA$25="Leve"),CONCATENATE("R5C",'Mapa final'!$O$25),"")</f>
        <v/>
      </c>
      <c r="L10" s="51" t="str">
        <f>IF(AND('Mapa final'!$Y$26="Muy Alta",'Mapa final'!$AA$26="Leve"),CONCATENATE("R5C",'Mapa final'!$O$26),"")</f>
        <v/>
      </c>
      <c r="M10" s="51" t="str">
        <f>IF(AND('Mapa final'!$Y$27="Muy Alta",'Mapa final'!$AA$27="Leve"),CONCATENATE("R5C",'Mapa final'!$O$27),"")</f>
        <v/>
      </c>
      <c r="N10" s="51" t="str">
        <f>IF(AND('Mapa final'!$Y$28="Muy Alta",'Mapa final'!$AA$28="Leve"),CONCATENATE("R5C",'Mapa final'!$O$28),"")</f>
        <v/>
      </c>
      <c r="O10" s="52" t="str">
        <f>IF(AND('Mapa final'!$Y$29="Muy Alta",'Mapa final'!$AA$29="Leve"),CONCATENATE("R5C",'Mapa final'!$O$29),"")</f>
        <v/>
      </c>
      <c r="P10" s="50" t="str">
        <f>IF(AND('Mapa final'!$Y$24="Muy Alta",'Mapa final'!$AA$24="Menor"),CONCATENATE("R5C",'Mapa final'!$O$24),"")</f>
        <v/>
      </c>
      <c r="Q10" s="51" t="str">
        <f>IF(AND('Mapa final'!$Y$25="Muy Alta",'Mapa final'!$AA$25="Menor"),CONCATENATE("R5C",'Mapa final'!$O$25),"")</f>
        <v/>
      </c>
      <c r="R10" s="51" t="str">
        <f>IF(AND('Mapa final'!$Y$26="Muy Alta",'Mapa final'!$AA$26="Menor"),CONCATENATE("R5C",'Mapa final'!$O$26),"")</f>
        <v/>
      </c>
      <c r="S10" s="51" t="str">
        <f>IF(AND('Mapa final'!$Y$27="Muy Alta",'Mapa final'!$AA$27="Menor"),CONCATENATE("R5C",'Mapa final'!$O$27),"")</f>
        <v/>
      </c>
      <c r="T10" s="51" t="str">
        <f>IF(AND('Mapa final'!$Y$28="Muy Alta",'Mapa final'!$AA$28="Menor"),CONCATENATE("R5C",'Mapa final'!$O$28),"")</f>
        <v/>
      </c>
      <c r="U10" s="52" t="str">
        <f>IF(AND('Mapa final'!$Y$29="Muy Alta",'Mapa final'!$AA$29="Menor"),CONCATENATE("R5C",'Mapa final'!$O$29),"")</f>
        <v/>
      </c>
      <c r="V10" s="50" t="str">
        <f>IF(AND('Mapa final'!$Y$24="Muy Alta",'Mapa final'!$AA$24="Moderado"),CONCATENATE("R5C",'Mapa final'!$O$24),"")</f>
        <v/>
      </c>
      <c r="W10" s="51" t="str">
        <f>IF(AND('Mapa final'!$Y$25="Muy Alta",'Mapa final'!$AA$25="Moderado"),CONCATENATE("R5C",'Mapa final'!$O$25),"")</f>
        <v/>
      </c>
      <c r="X10" s="51" t="str">
        <f>IF(AND('Mapa final'!$Y$26="Muy Alta",'Mapa final'!$AA$26="Moderado"),CONCATENATE("R5C",'Mapa final'!$O$26),"")</f>
        <v/>
      </c>
      <c r="Y10" s="51" t="str">
        <f>IF(AND('Mapa final'!$Y$27="Muy Alta",'Mapa final'!$AA$27="Moderado"),CONCATENATE("R5C",'Mapa final'!$O$27),"")</f>
        <v/>
      </c>
      <c r="Z10" s="51" t="str">
        <f>IF(AND('Mapa final'!$Y$28="Muy Alta",'Mapa final'!$AA$28="Moderado"),CONCATENATE("R5C",'Mapa final'!$O$28),"")</f>
        <v/>
      </c>
      <c r="AA10" s="52" t="str">
        <f>IF(AND('Mapa final'!$Y$29="Muy Alta",'Mapa final'!$AA$29="Moderado"),CONCATENATE("R5C",'Mapa final'!$O$29),"")</f>
        <v/>
      </c>
      <c r="AB10" s="50" t="str">
        <f>IF(AND('Mapa final'!$Y$24="Muy Alta",'Mapa final'!$AA$24="Mayor"),CONCATENATE("R5C",'Mapa final'!$O$24),"")</f>
        <v/>
      </c>
      <c r="AC10" s="51" t="str">
        <f>IF(AND('Mapa final'!$Y$25="Muy Alta",'Mapa final'!$AA$25="Mayor"),CONCATENATE("R5C",'Mapa final'!$O$25),"")</f>
        <v/>
      </c>
      <c r="AD10" s="51" t="str">
        <f>IF(AND('Mapa final'!$Y$26="Muy Alta",'Mapa final'!$AA$26="Mayor"),CONCATENATE("R5C",'Mapa final'!$O$26),"")</f>
        <v/>
      </c>
      <c r="AE10" s="51" t="str">
        <f>IF(AND('Mapa final'!$Y$27="Muy Alta",'Mapa final'!$AA$27="Mayor"),CONCATENATE("R5C",'Mapa final'!$O$27),"")</f>
        <v/>
      </c>
      <c r="AF10" s="51" t="str">
        <f>IF(AND('Mapa final'!$Y$28="Muy Alta",'Mapa final'!$AA$28="Mayor"),CONCATENATE("R5C",'Mapa final'!$O$28),"")</f>
        <v/>
      </c>
      <c r="AG10" s="52" t="str">
        <f>IF(AND('Mapa final'!$Y$29="Muy Alta",'Mapa final'!$AA$29="Mayor"),CONCATENATE("R5C",'Mapa final'!$O$29),"")</f>
        <v/>
      </c>
      <c r="AH10" s="53" t="str">
        <f>IF(AND('Mapa final'!$Y$24="Muy Alta",'Mapa final'!$AA$24="Catastrófico"),CONCATENATE("R5C",'Mapa final'!$O$24),"")</f>
        <v/>
      </c>
      <c r="AI10" s="54" t="str">
        <f>IF(AND('Mapa final'!$Y$25="Muy Alta",'Mapa final'!$AA$25="Catastrófico"),CONCATENATE("R5C",'Mapa final'!$O$25),"")</f>
        <v/>
      </c>
      <c r="AJ10" s="54" t="str">
        <f>IF(AND('Mapa final'!$Y$26="Muy Alta",'Mapa final'!$AA$26="Catastrófico"),CONCATENATE("R5C",'Mapa final'!$O$26),"")</f>
        <v/>
      </c>
      <c r="AK10" s="54" t="str">
        <f>IF(AND('Mapa final'!$Y$27="Muy Alta",'Mapa final'!$AA$27="Catastrófico"),CONCATENATE("R5C",'Mapa final'!$O$27),"")</f>
        <v/>
      </c>
      <c r="AL10" s="54" t="str">
        <f>IF(AND('Mapa final'!$Y$28="Muy Alta",'Mapa final'!$AA$28="Catastrófico"),CONCATENATE("R5C",'Mapa final'!$O$28),"")</f>
        <v/>
      </c>
      <c r="AM10" s="55" t="str">
        <f>IF(AND('Mapa final'!$Y$29="Muy Alta",'Mapa final'!$AA$29="Catastrófico"),CONCATENATE("R5C",'Mapa final'!$O$29),"")</f>
        <v/>
      </c>
      <c r="AN10" s="81"/>
      <c r="AO10" s="350"/>
      <c r="AP10" s="351"/>
      <c r="AQ10" s="351"/>
      <c r="AR10" s="351"/>
      <c r="AS10" s="351"/>
      <c r="AT10" s="352"/>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289"/>
      <c r="C11" s="289"/>
      <c r="D11" s="290"/>
      <c r="E11" s="330"/>
      <c r="F11" s="331"/>
      <c r="G11" s="331"/>
      <c r="H11" s="331"/>
      <c r="I11" s="332"/>
      <c r="J11" s="50" t="str">
        <f>IF(AND('Mapa final'!$Y$30="Muy Alta",'Mapa final'!$AA$30="Leve"),CONCATENATE("R6C",'Mapa final'!$O$30),"")</f>
        <v/>
      </c>
      <c r="K11" s="51" t="str">
        <f>IF(AND('Mapa final'!$Y$31="Muy Alta",'Mapa final'!$AA$31="Leve"),CONCATENATE("R6C",'Mapa final'!$O$31),"")</f>
        <v/>
      </c>
      <c r="L11" s="51" t="str">
        <f>IF(AND('Mapa final'!$Y$32="Muy Alta",'Mapa final'!$AA$32="Leve"),CONCATENATE("R6C",'Mapa final'!$O$32),"")</f>
        <v/>
      </c>
      <c r="M11" s="51" t="str">
        <f>IF(AND('Mapa final'!$Y$33="Muy Alta",'Mapa final'!$AA$33="Leve"),CONCATENATE("R6C",'Mapa final'!$O$33),"")</f>
        <v/>
      </c>
      <c r="N11" s="51" t="str">
        <f>IF(AND('Mapa final'!$Y$34="Muy Alta",'Mapa final'!$AA$34="Leve"),CONCATENATE("R6C",'Mapa final'!$O$34),"")</f>
        <v/>
      </c>
      <c r="O11" s="52" t="str">
        <f>IF(AND('Mapa final'!$Y$35="Muy Alta",'Mapa final'!$AA$35="Leve"),CONCATENATE("R6C",'Mapa final'!$O$35),"")</f>
        <v/>
      </c>
      <c r="P11" s="50" t="str">
        <f>IF(AND('Mapa final'!$Y$30="Muy Alta",'Mapa final'!$AA$30="Menor"),CONCATENATE("R6C",'Mapa final'!$O$30),"")</f>
        <v/>
      </c>
      <c r="Q11" s="51" t="str">
        <f>IF(AND('Mapa final'!$Y$31="Muy Alta",'Mapa final'!$AA$31="Menor"),CONCATENATE("R6C",'Mapa final'!$O$31),"")</f>
        <v/>
      </c>
      <c r="R11" s="51" t="str">
        <f>IF(AND('Mapa final'!$Y$32="Muy Alta",'Mapa final'!$AA$32="Menor"),CONCATENATE("R6C",'Mapa final'!$O$32),"")</f>
        <v/>
      </c>
      <c r="S11" s="51" t="str">
        <f>IF(AND('Mapa final'!$Y$33="Muy Alta",'Mapa final'!$AA$33="Menor"),CONCATENATE("R6C",'Mapa final'!$O$33),"")</f>
        <v/>
      </c>
      <c r="T11" s="51" t="str">
        <f>IF(AND('Mapa final'!$Y$34="Muy Alta",'Mapa final'!$AA$34="Menor"),CONCATENATE("R6C",'Mapa final'!$O$34),"")</f>
        <v/>
      </c>
      <c r="U11" s="52" t="str">
        <f>IF(AND('Mapa final'!$Y$35="Muy Alta",'Mapa final'!$AA$35="Menor"),CONCATENATE("R6C",'Mapa final'!$O$35),"")</f>
        <v/>
      </c>
      <c r="V11" s="50" t="str">
        <f>IF(AND('Mapa final'!$Y$30="Muy Alta",'Mapa final'!$AA$30="Moderado"),CONCATENATE("R6C",'Mapa final'!$O$30),"")</f>
        <v/>
      </c>
      <c r="W11" s="51" t="str">
        <f>IF(AND('Mapa final'!$Y$31="Muy Alta",'Mapa final'!$AA$31="Moderado"),CONCATENATE("R6C",'Mapa final'!$O$31),"")</f>
        <v/>
      </c>
      <c r="X11" s="51" t="str">
        <f>IF(AND('Mapa final'!$Y$32="Muy Alta",'Mapa final'!$AA$32="Moderado"),CONCATENATE("R6C",'Mapa final'!$O$32),"")</f>
        <v/>
      </c>
      <c r="Y11" s="51" t="str">
        <f>IF(AND('Mapa final'!$Y$33="Muy Alta",'Mapa final'!$AA$33="Moderado"),CONCATENATE("R6C",'Mapa final'!$O$33),"")</f>
        <v/>
      </c>
      <c r="Z11" s="51" t="str">
        <f>IF(AND('Mapa final'!$Y$34="Muy Alta",'Mapa final'!$AA$34="Moderado"),CONCATENATE("R6C",'Mapa final'!$O$34),"")</f>
        <v/>
      </c>
      <c r="AA11" s="52" t="str">
        <f>IF(AND('Mapa final'!$Y$35="Muy Alta",'Mapa final'!$AA$35="Moderado"),CONCATENATE("R6C",'Mapa final'!$O$35),"")</f>
        <v/>
      </c>
      <c r="AB11" s="50" t="str">
        <f>IF(AND('Mapa final'!$Y$30="Muy Alta",'Mapa final'!$AA$30="Mayor"),CONCATENATE("R6C",'Mapa final'!$O$30),"")</f>
        <v/>
      </c>
      <c r="AC11" s="51" t="str">
        <f>IF(AND('Mapa final'!$Y$31="Muy Alta",'Mapa final'!$AA$31="Mayor"),CONCATENATE("R6C",'Mapa final'!$O$31),"")</f>
        <v/>
      </c>
      <c r="AD11" s="51" t="str">
        <f>IF(AND('Mapa final'!$Y$32="Muy Alta",'Mapa final'!$AA$32="Mayor"),CONCATENATE("R6C",'Mapa final'!$O$32),"")</f>
        <v/>
      </c>
      <c r="AE11" s="51" t="str">
        <f>IF(AND('Mapa final'!$Y$33="Muy Alta",'Mapa final'!$AA$33="Mayor"),CONCATENATE("R6C",'Mapa final'!$O$33),"")</f>
        <v/>
      </c>
      <c r="AF11" s="51" t="str">
        <f>IF(AND('Mapa final'!$Y$34="Muy Alta",'Mapa final'!$AA$34="Mayor"),CONCATENATE("R6C",'Mapa final'!$O$34),"")</f>
        <v/>
      </c>
      <c r="AG11" s="52" t="str">
        <f>IF(AND('Mapa final'!$Y$35="Muy Alta",'Mapa final'!$AA$35="Mayor"),CONCATENATE("R6C",'Mapa final'!$O$35),"")</f>
        <v/>
      </c>
      <c r="AH11" s="53" t="str">
        <f>IF(AND('Mapa final'!$Y$30="Muy Alta",'Mapa final'!$AA$30="Catastrófico"),CONCATENATE("R6C",'Mapa final'!$O$30),"")</f>
        <v/>
      </c>
      <c r="AI11" s="54" t="str">
        <f>IF(AND('Mapa final'!$Y$31="Muy Alta",'Mapa final'!$AA$31="Catastrófico"),CONCATENATE("R6C",'Mapa final'!$O$31),"")</f>
        <v/>
      </c>
      <c r="AJ11" s="54" t="str">
        <f>IF(AND('Mapa final'!$Y$32="Muy Alta",'Mapa final'!$AA$32="Catastrófico"),CONCATENATE("R6C",'Mapa final'!$O$32),"")</f>
        <v/>
      </c>
      <c r="AK11" s="54" t="str">
        <f>IF(AND('Mapa final'!$Y$33="Muy Alta",'Mapa final'!$AA$33="Catastrófico"),CONCATENATE("R6C",'Mapa final'!$O$33),"")</f>
        <v/>
      </c>
      <c r="AL11" s="54" t="str">
        <f>IF(AND('Mapa final'!$Y$34="Muy Alta",'Mapa final'!$AA$34="Catastrófico"),CONCATENATE("R6C",'Mapa final'!$O$34),"")</f>
        <v/>
      </c>
      <c r="AM11" s="55" t="str">
        <f>IF(AND('Mapa final'!$Y$35="Muy Alta",'Mapa final'!$AA$35="Catastrófico"),CONCATENATE("R6C",'Mapa final'!$O$35),"")</f>
        <v/>
      </c>
      <c r="AN11" s="81"/>
      <c r="AO11" s="350"/>
      <c r="AP11" s="351"/>
      <c r="AQ11" s="351"/>
      <c r="AR11" s="351"/>
      <c r="AS11" s="351"/>
      <c r="AT11" s="352"/>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289"/>
      <c r="C12" s="289"/>
      <c r="D12" s="290"/>
      <c r="E12" s="330"/>
      <c r="F12" s="331"/>
      <c r="G12" s="331"/>
      <c r="H12" s="331"/>
      <c r="I12" s="332"/>
      <c r="J12" s="50" t="str">
        <f>IF(AND('Mapa final'!$Y$36="Muy Alta",'Mapa final'!$AA$36="Leve"),CONCATENATE("R7C",'Mapa final'!$O$36),"")</f>
        <v/>
      </c>
      <c r="K12" s="51" t="str">
        <f>IF(AND('Mapa final'!$Y$37="Muy Alta",'Mapa final'!$AA$37="Leve"),CONCATENATE("R7C",'Mapa final'!$O$37),"")</f>
        <v/>
      </c>
      <c r="L12" s="51" t="str">
        <f>IF(AND('Mapa final'!$Y$38="Muy Alta",'Mapa final'!$AA$38="Leve"),CONCATENATE("R7C",'Mapa final'!$O$38),"")</f>
        <v/>
      </c>
      <c r="M12" s="51" t="str">
        <f>IF(AND('Mapa final'!$Y$39="Muy Alta",'Mapa final'!$AA$39="Leve"),CONCATENATE("R7C",'Mapa final'!$O$39),"")</f>
        <v/>
      </c>
      <c r="N12" s="51" t="str">
        <f>IF(AND('Mapa final'!$Y$40="Muy Alta",'Mapa final'!$AA$40="Leve"),CONCATENATE("R7C",'Mapa final'!$O$40),"")</f>
        <v/>
      </c>
      <c r="O12" s="52" t="str">
        <f>IF(AND('Mapa final'!$Y$41="Muy Alta",'Mapa final'!$AA$41="Leve"),CONCATENATE("R7C",'Mapa final'!$O$41),"")</f>
        <v/>
      </c>
      <c r="P12" s="50" t="str">
        <f>IF(AND('Mapa final'!$Y$36="Muy Alta",'Mapa final'!$AA$36="Menor"),CONCATENATE("R7C",'Mapa final'!$O$36),"")</f>
        <v/>
      </c>
      <c r="Q12" s="51" t="str">
        <f>IF(AND('Mapa final'!$Y$37="Muy Alta",'Mapa final'!$AA$37="Menor"),CONCATENATE("R7C",'Mapa final'!$O$37),"")</f>
        <v/>
      </c>
      <c r="R12" s="51" t="str">
        <f>IF(AND('Mapa final'!$Y$38="Muy Alta",'Mapa final'!$AA$38="Menor"),CONCATENATE("R7C",'Mapa final'!$O$38),"")</f>
        <v/>
      </c>
      <c r="S12" s="51" t="str">
        <f>IF(AND('Mapa final'!$Y$39="Muy Alta",'Mapa final'!$AA$39="Menor"),CONCATENATE("R7C",'Mapa final'!$O$39),"")</f>
        <v/>
      </c>
      <c r="T12" s="51" t="str">
        <f>IF(AND('Mapa final'!$Y$40="Muy Alta",'Mapa final'!$AA$40="Menor"),CONCATENATE("R7C",'Mapa final'!$O$40),"")</f>
        <v/>
      </c>
      <c r="U12" s="52" t="str">
        <f>IF(AND('Mapa final'!$Y$41="Muy Alta",'Mapa final'!$AA$41="Menor"),CONCATENATE("R7C",'Mapa final'!$O$41),"")</f>
        <v/>
      </c>
      <c r="V12" s="50" t="str">
        <f>IF(AND('Mapa final'!$Y$36="Muy Alta",'Mapa final'!$AA$36="Moderado"),CONCATENATE("R7C",'Mapa final'!$O$36),"")</f>
        <v/>
      </c>
      <c r="W12" s="51" t="str">
        <f>IF(AND('Mapa final'!$Y$37="Muy Alta",'Mapa final'!$AA$37="Moderado"),CONCATENATE("R7C",'Mapa final'!$O$37),"")</f>
        <v/>
      </c>
      <c r="X12" s="51" t="str">
        <f>IF(AND('Mapa final'!$Y$38="Muy Alta",'Mapa final'!$AA$38="Moderado"),CONCATENATE("R7C",'Mapa final'!$O$38),"")</f>
        <v/>
      </c>
      <c r="Y12" s="51" t="str">
        <f>IF(AND('Mapa final'!$Y$39="Muy Alta",'Mapa final'!$AA$39="Moderado"),CONCATENATE("R7C",'Mapa final'!$O$39),"")</f>
        <v/>
      </c>
      <c r="Z12" s="51" t="str">
        <f>IF(AND('Mapa final'!$Y$40="Muy Alta",'Mapa final'!$AA$40="Moderado"),CONCATENATE("R7C",'Mapa final'!$O$40),"")</f>
        <v/>
      </c>
      <c r="AA12" s="52" t="str">
        <f>IF(AND('Mapa final'!$Y$41="Muy Alta",'Mapa final'!$AA$41="Moderado"),CONCATENATE("R7C",'Mapa final'!$O$41),"")</f>
        <v/>
      </c>
      <c r="AB12" s="50" t="str">
        <f>IF(AND('Mapa final'!$Y$36="Muy Alta",'Mapa final'!$AA$36="Mayor"),CONCATENATE("R7C",'Mapa final'!$O$36),"")</f>
        <v/>
      </c>
      <c r="AC12" s="51" t="str">
        <f>IF(AND('Mapa final'!$Y$37="Muy Alta",'Mapa final'!$AA$37="Mayor"),CONCATENATE("R7C",'Mapa final'!$O$37),"")</f>
        <v/>
      </c>
      <c r="AD12" s="51" t="str">
        <f>IF(AND('Mapa final'!$Y$38="Muy Alta",'Mapa final'!$AA$38="Mayor"),CONCATENATE("R7C",'Mapa final'!$O$38),"")</f>
        <v/>
      </c>
      <c r="AE12" s="51" t="str">
        <f>IF(AND('Mapa final'!$Y$39="Muy Alta",'Mapa final'!$AA$39="Mayor"),CONCATENATE("R7C",'Mapa final'!$O$39),"")</f>
        <v/>
      </c>
      <c r="AF12" s="51" t="str">
        <f>IF(AND('Mapa final'!$Y$40="Muy Alta",'Mapa final'!$AA$40="Mayor"),CONCATENATE("R7C",'Mapa final'!$O$40),"")</f>
        <v/>
      </c>
      <c r="AG12" s="52" t="str">
        <f>IF(AND('Mapa final'!$Y$41="Muy Alta",'Mapa final'!$AA$41="Mayor"),CONCATENATE("R7C",'Mapa final'!$O$41),"")</f>
        <v/>
      </c>
      <c r="AH12" s="53" t="str">
        <f>IF(AND('Mapa final'!$Y$36="Muy Alta",'Mapa final'!$AA$36="Catastrófico"),CONCATENATE("R7C",'Mapa final'!$O$36),"")</f>
        <v/>
      </c>
      <c r="AI12" s="54" t="str">
        <f>IF(AND('Mapa final'!$Y$37="Muy Alta",'Mapa final'!$AA$37="Catastrófico"),CONCATENATE("R7C",'Mapa final'!$O$37),"")</f>
        <v/>
      </c>
      <c r="AJ12" s="54" t="str">
        <f>IF(AND('Mapa final'!$Y$38="Muy Alta",'Mapa final'!$AA$38="Catastrófico"),CONCATENATE("R7C",'Mapa final'!$O$38),"")</f>
        <v/>
      </c>
      <c r="AK12" s="54" t="str">
        <f>IF(AND('Mapa final'!$Y$39="Muy Alta",'Mapa final'!$AA$39="Catastrófico"),CONCATENATE("R7C",'Mapa final'!$O$39),"")</f>
        <v/>
      </c>
      <c r="AL12" s="54" t="str">
        <f>IF(AND('Mapa final'!$Y$40="Muy Alta",'Mapa final'!$AA$40="Catastrófico"),CONCATENATE("R7C",'Mapa final'!$O$40),"")</f>
        <v/>
      </c>
      <c r="AM12" s="55" t="str">
        <f>IF(AND('Mapa final'!$Y$41="Muy Alta",'Mapa final'!$AA$41="Catastrófico"),CONCATENATE("R7C",'Mapa final'!$O$41),"")</f>
        <v/>
      </c>
      <c r="AN12" s="81"/>
      <c r="AO12" s="350"/>
      <c r="AP12" s="351"/>
      <c r="AQ12" s="351"/>
      <c r="AR12" s="351"/>
      <c r="AS12" s="351"/>
      <c r="AT12" s="352"/>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289"/>
      <c r="C13" s="289"/>
      <c r="D13" s="290"/>
      <c r="E13" s="330"/>
      <c r="F13" s="331"/>
      <c r="G13" s="331"/>
      <c r="H13" s="331"/>
      <c r="I13" s="332"/>
      <c r="J13" s="50" t="str">
        <f>IF(AND('Mapa final'!$Y$42="Muy Alta",'Mapa final'!$AA$42="Leve"),CONCATENATE("R8C",'Mapa final'!$O$42),"")</f>
        <v/>
      </c>
      <c r="K13" s="51" t="str">
        <f>IF(AND('Mapa final'!$Y$43="Muy Alta",'Mapa final'!$AA$43="Leve"),CONCATENATE("R8C",'Mapa final'!$O$43),"")</f>
        <v/>
      </c>
      <c r="L13" s="51" t="str">
        <f>IF(AND('Mapa final'!$Y$44="Muy Alta",'Mapa final'!$AA$44="Leve"),CONCATENATE("R8C",'Mapa final'!$O$44),"")</f>
        <v/>
      </c>
      <c r="M13" s="51" t="str">
        <f>IF(AND('Mapa final'!$Y$45="Muy Alta",'Mapa final'!$AA$45="Leve"),CONCATENATE("R8C",'Mapa final'!$O$45),"")</f>
        <v/>
      </c>
      <c r="N13" s="51" t="str">
        <f>IF(AND('Mapa final'!$Y$46="Muy Alta",'Mapa final'!$AA$46="Leve"),CONCATENATE("R8C",'Mapa final'!$O$46),"")</f>
        <v/>
      </c>
      <c r="O13" s="52" t="str">
        <f>IF(AND('Mapa final'!$Y$47="Muy Alta",'Mapa final'!$AA$47="Leve"),CONCATENATE("R8C",'Mapa final'!$O$47),"")</f>
        <v/>
      </c>
      <c r="P13" s="50" t="str">
        <f>IF(AND('Mapa final'!$Y$42="Muy Alta",'Mapa final'!$AA$42="Menor"),CONCATENATE("R8C",'Mapa final'!$O$42),"")</f>
        <v/>
      </c>
      <c r="Q13" s="51" t="str">
        <f>IF(AND('Mapa final'!$Y$43="Muy Alta",'Mapa final'!$AA$43="Menor"),CONCATENATE("R8C",'Mapa final'!$O$43),"")</f>
        <v/>
      </c>
      <c r="R13" s="51" t="str">
        <f>IF(AND('Mapa final'!$Y$44="Muy Alta",'Mapa final'!$AA$44="Menor"),CONCATENATE("R8C",'Mapa final'!$O$44),"")</f>
        <v/>
      </c>
      <c r="S13" s="51" t="str">
        <f>IF(AND('Mapa final'!$Y$45="Muy Alta",'Mapa final'!$AA$45="Menor"),CONCATENATE("R8C",'Mapa final'!$O$45),"")</f>
        <v/>
      </c>
      <c r="T13" s="51" t="str">
        <f>IF(AND('Mapa final'!$Y$46="Muy Alta",'Mapa final'!$AA$46="Menor"),CONCATENATE("R8C",'Mapa final'!$O$46),"")</f>
        <v/>
      </c>
      <c r="U13" s="52" t="str">
        <f>IF(AND('Mapa final'!$Y$47="Muy Alta",'Mapa final'!$AA$47="Menor"),CONCATENATE("R8C",'Mapa final'!$O$47),"")</f>
        <v/>
      </c>
      <c r="V13" s="50" t="str">
        <f>IF(AND('Mapa final'!$Y$42="Muy Alta",'Mapa final'!$AA$42="Moderado"),CONCATENATE("R8C",'Mapa final'!$O$42),"")</f>
        <v/>
      </c>
      <c r="W13" s="51" t="str">
        <f>IF(AND('Mapa final'!$Y$43="Muy Alta",'Mapa final'!$AA$43="Moderado"),CONCATENATE("R8C",'Mapa final'!$O$43),"")</f>
        <v/>
      </c>
      <c r="X13" s="51" t="str">
        <f>IF(AND('Mapa final'!$Y$44="Muy Alta",'Mapa final'!$AA$44="Moderado"),CONCATENATE("R8C",'Mapa final'!$O$44),"")</f>
        <v/>
      </c>
      <c r="Y13" s="51" t="str">
        <f>IF(AND('Mapa final'!$Y$45="Muy Alta",'Mapa final'!$AA$45="Moderado"),CONCATENATE("R8C",'Mapa final'!$O$45),"")</f>
        <v/>
      </c>
      <c r="Z13" s="51" t="str">
        <f>IF(AND('Mapa final'!$Y$46="Muy Alta",'Mapa final'!$AA$46="Moderado"),CONCATENATE("R8C",'Mapa final'!$O$46),"")</f>
        <v/>
      </c>
      <c r="AA13" s="52" t="str">
        <f>IF(AND('Mapa final'!$Y$47="Muy Alta",'Mapa final'!$AA$47="Moderado"),CONCATENATE("R8C",'Mapa final'!$O$47),"")</f>
        <v/>
      </c>
      <c r="AB13" s="50" t="str">
        <f>IF(AND('Mapa final'!$Y$42="Muy Alta",'Mapa final'!$AA$42="Mayor"),CONCATENATE("R8C",'Mapa final'!$O$42),"")</f>
        <v/>
      </c>
      <c r="AC13" s="51" t="str">
        <f>IF(AND('Mapa final'!$Y$43="Muy Alta",'Mapa final'!$AA$43="Mayor"),CONCATENATE("R8C",'Mapa final'!$O$43),"")</f>
        <v/>
      </c>
      <c r="AD13" s="51" t="str">
        <f>IF(AND('Mapa final'!$Y$44="Muy Alta",'Mapa final'!$AA$44="Mayor"),CONCATENATE("R8C",'Mapa final'!$O$44),"")</f>
        <v/>
      </c>
      <c r="AE13" s="51" t="str">
        <f>IF(AND('Mapa final'!$Y$45="Muy Alta",'Mapa final'!$AA$45="Mayor"),CONCATENATE("R8C",'Mapa final'!$O$45),"")</f>
        <v/>
      </c>
      <c r="AF13" s="51" t="str">
        <f>IF(AND('Mapa final'!$Y$46="Muy Alta",'Mapa final'!$AA$46="Mayor"),CONCATENATE("R8C",'Mapa final'!$O$46),"")</f>
        <v/>
      </c>
      <c r="AG13" s="52" t="str">
        <f>IF(AND('Mapa final'!$Y$47="Muy Alta",'Mapa final'!$AA$47="Mayor"),CONCATENATE("R8C",'Mapa final'!$O$47),"")</f>
        <v/>
      </c>
      <c r="AH13" s="53" t="str">
        <f>IF(AND('Mapa final'!$Y$42="Muy Alta",'Mapa final'!$AA$42="Catastrófico"),CONCATENATE("R8C",'Mapa final'!$O$42),"")</f>
        <v/>
      </c>
      <c r="AI13" s="54" t="str">
        <f>IF(AND('Mapa final'!$Y$43="Muy Alta",'Mapa final'!$AA$43="Catastrófico"),CONCATENATE("R8C",'Mapa final'!$O$43),"")</f>
        <v/>
      </c>
      <c r="AJ13" s="54" t="str">
        <f>IF(AND('Mapa final'!$Y$44="Muy Alta",'Mapa final'!$AA$44="Catastrófico"),CONCATENATE("R8C",'Mapa final'!$O$44),"")</f>
        <v/>
      </c>
      <c r="AK13" s="54" t="str">
        <f>IF(AND('Mapa final'!$Y$45="Muy Alta",'Mapa final'!$AA$45="Catastrófico"),CONCATENATE("R8C",'Mapa final'!$O$45),"")</f>
        <v/>
      </c>
      <c r="AL13" s="54" t="str">
        <f>IF(AND('Mapa final'!$Y$46="Muy Alta",'Mapa final'!$AA$46="Catastrófico"),CONCATENATE("R8C",'Mapa final'!$O$46),"")</f>
        <v/>
      </c>
      <c r="AM13" s="55" t="str">
        <f>IF(AND('Mapa final'!$Y$47="Muy Alta",'Mapa final'!$AA$47="Catastrófico"),CONCATENATE("R8C",'Mapa final'!$O$47),"")</f>
        <v/>
      </c>
      <c r="AN13" s="81"/>
      <c r="AO13" s="350"/>
      <c r="AP13" s="351"/>
      <c r="AQ13" s="351"/>
      <c r="AR13" s="351"/>
      <c r="AS13" s="351"/>
      <c r="AT13" s="352"/>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289"/>
      <c r="C14" s="289"/>
      <c r="D14" s="290"/>
      <c r="E14" s="330"/>
      <c r="F14" s="331"/>
      <c r="G14" s="331"/>
      <c r="H14" s="331"/>
      <c r="I14" s="332"/>
      <c r="J14" s="50" t="str">
        <f>IF(AND('Mapa final'!$Y$48="Muy Alta",'Mapa final'!$AA$48="Leve"),CONCATENATE("R9C",'Mapa final'!$O$48),"")</f>
        <v/>
      </c>
      <c r="K14" s="51" t="str">
        <f>IF(AND('Mapa final'!$Y$49="Muy Alta",'Mapa final'!$AA$49="Leve"),CONCATENATE("R9C",'Mapa final'!$O$49),"")</f>
        <v/>
      </c>
      <c r="L14" s="51" t="str">
        <f>IF(AND('Mapa final'!$Y$50="Muy Alta",'Mapa final'!$AA$50="Leve"),CONCATENATE("R9C",'Mapa final'!$O$50),"")</f>
        <v/>
      </c>
      <c r="M14" s="51" t="str">
        <f>IF(AND('Mapa final'!$Y$51="Muy Alta",'Mapa final'!$AA$51="Leve"),CONCATENATE("R9C",'Mapa final'!$O$51),"")</f>
        <v/>
      </c>
      <c r="N14" s="51" t="str">
        <f>IF(AND('Mapa final'!$Y$52="Muy Alta",'Mapa final'!$AA$52="Leve"),CONCATENATE("R9C",'Mapa final'!$O$52),"")</f>
        <v/>
      </c>
      <c r="O14" s="52" t="str">
        <f>IF(AND('Mapa final'!$Y$53="Muy Alta",'Mapa final'!$AA$53="Leve"),CONCATENATE("R9C",'Mapa final'!$O$53),"")</f>
        <v/>
      </c>
      <c r="P14" s="50" t="str">
        <f>IF(AND('Mapa final'!$Y$48="Muy Alta",'Mapa final'!$AA$48="Menor"),CONCATENATE("R9C",'Mapa final'!$O$48),"")</f>
        <v/>
      </c>
      <c r="Q14" s="51" t="str">
        <f>IF(AND('Mapa final'!$Y$49="Muy Alta",'Mapa final'!$AA$49="Menor"),CONCATENATE("R9C",'Mapa final'!$O$49),"")</f>
        <v/>
      </c>
      <c r="R14" s="51" t="str">
        <f>IF(AND('Mapa final'!$Y$50="Muy Alta",'Mapa final'!$AA$50="Menor"),CONCATENATE("R9C",'Mapa final'!$O$50),"")</f>
        <v/>
      </c>
      <c r="S14" s="51" t="str">
        <f>IF(AND('Mapa final'!$Y$51="Muy Alta",'Mapa final'!$AA$51="Menor"),CONCATENATE("R9C",'Mapa final'!$O$51),"")</f>
        <v/>
      </c>
      <c r="T14" s="51" t="str">
        <f>IF(AND('Mapa final'!$Y$52="Muy Alta",'Mapa final'!$AA$52="Menor"),CONCATENATE("R9C",'Mapa final'!$O$52),"")</f>
        <v/>
      </c>
      <c r="U14" s="52" t="str">
        <f>IF(AND('Mapa final'!$Y$53="Muy Alta",'Mapa final'!$AA$53="Menor"),CONCATENATE("R9C",'Mapa final'!$O$53),"")</f>
        <v/>
      </c>
      <c r="V14" s="50" t="str">
        <f>IF(AND('Mapa final'!$Y$48="Muy Alta",'Mapa final'!$AA$48="Moderado"),CONCATENATE("R9C",'Mapa final'!$O$48),"")</f>
        <v/>
      </c>
      <c r="W14" s="51" t="str">
        <f>IF(AND('Mapa final'!$Y$49="Muy Alta",'Mapa final'!$AA$49="Moderado"),CONCATENATE("R9C",'Mapa final'!$O$49),"")</f>
        <v/>
      </c>
      <c r="X14" s="51" t="str">
        <f>IF(AND('Mapa final'!$Y$50="Muy Alta",'Mapa final'!$AA$50="Moderado"),CONCATENATE("R9C",'Mapa final'!$O$50),"")</f>
        <v/>
      </c>
      <c r="Y14" s="51" t="str">
        <f>IF(AND('Mapa final'!$Y$51="Muy Alta",'Mapa final'!$AA$51="Moderado"),CONCATENATE("R9C",'Mapa final'!$O$51),"")</f>
        <v/>
      </c>
      <c r="Z14" s="51" t="str">
        <f>IF(AND('Mapa final'!$Y$52="Muy Alta",'Mapa final'!$AA$52="Moderado"),CONCATENATE("R9C",'Mapa final'!$O$52),"")</f>
        <v/>
      </c>
      <c r="AA14" s="52" t="str">
        <f>IF(AND('Mapa final'!$Y$53="Muy Alta",'Mapa final'!$AA$53="Moderado"),CONCATENATE("R9C",'Mapa final'!$O$53),"")</f>
        <v/>
      </c>
      <c r="AB14" s="50" t="str">
        <f>IF(AND('Mapa final'!$Y$48="Muy Alta",'Mapa final'!$AA$48="Mayor"),CONCATENATE("R9C",'Mapa final'!$O$48),"")</f>
        <v/>
      </c>
      <c r="AC14" s="51" t="str">
        <f>IF(AND('Mapa final'!$Y$49="Muy Alta",'Mapa final'!$AA$49="Mayor"),CONCATENATE("R9C",'Mapa final'!$O$49),"")</f>
        <v/>
      </c>
      <c r="AD14" s="51" t="str">
        <f>IF(AND('Mapa final'!$Y$50="Muy Alta",'Mapa final'!$AA$50="Mayor"),CONCATENATE("R9C",'Mapa final'!$O$50),"")</f>
        <v/>
      </c>
      <c r="AE14" s="51" t="str">
        <f>IF(AND('Mapa final'!$Y$51="Muy Alta",'Mapa final'!$AA$51="Mayor"),CONCATENATE("R9C",'Mapa final'!$O$51),"")</f>
        <v/>
      </c>
      <c r="AF14" s="51" t="str">
        <f>IF(AND('Mapa final'!$Y$52="Muy Alta",'Mapa final'!$AA$52="Mayor"),CONCATENATE("R9C",'Mapa final'!$O$52),"")</f>
        <v/>
      </c>
      <c r="AG14" s="52" t="str">
        <f>IF(AND('Mapa final'!$Y$53="Muy Alta",'Mapa final'!$AA$53="Mayor"),CONCATENATE("R9C",'Mapa final'!$O$53),"")</f>
        <v/>
      </c>
      <c r="AH14" s="53" t="str">
        <f>IF(AND('Mapa final'!$Y$48="Muy Alta",'Mapa final'!$AA$48="Catastrófico"),CONCATENATE("R9C",'Mapa final'!$O$48),"")</f>
        <v/>
      </c>
      <c r="AI14" s="54" t="str">
        <f>IF(AND('Mapa final'!$Y$49="Muy Alta",'Mapa final'!$AA$49="Catastrófico"),CONCATENATE("R9C",'Mapa final'!$O$49),"")</f>
        <v/>
      </c>
      <c r="AJ14" s="54" t="str">
        <f>IF(AND('Mapa final'!$Y$50="Muy Alta",'Mapa final'!$AA$50="Catastrófico"),CONCATENATE("R9C",'Mapa final'!$O$50),"")</f>
        <v/>
      </c>
      <c r="AK14" s="54" t="str">
        <f>IF(AND('Mapa final'!$Y$51="Muy Alta",'Mapa final'!$AA$51="Catastrófico"),CONCATENATE("R9C",'Mapa final'!$O$51),"")</f>
        <v/>
      </c>
      <c r="AL14" s="54" t="str">
        <f>IF(AND('Mapa final'!$Y$52="Muy Alta",'Mapa final'!$AA$52="Catastrófico"),CONCATENATE("R9C",'Mapa final'!$O$52),"")</f>
        <v/>
      </c>
      <c r="AM14" s="55" t="str">
        <f>IF(AND('Mapa final'!$Y$53="Muy Alta",'Mapa final'!$AA$53="Catastrófico"),CONCATENATE("R9C",'Mapa final'!$O$53),"")</f>
        <v/>
      </c>
      <c r="AN14" s="81"/>
      <c r="AO14" s="350"/>
      <c r="AP14" s="351"/>
      <c r="AQ14" s="351"/>
      <c r="AR14" s="351"/>
      <c r="AS14" s="351"/>
      <c r="AT14" s="352"/>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289"/>
      <c r="C15" s="289"/>
      <c r="D15" s="290"/>
      <c r="E15" s="333"/>
      <c r="F15" s="334"/>
      <c r="G15" s="334"/>
      <c r="H15" s="334"/>
      <c r="I15" s="335"/>
      <c r="J15" s="56" t="str">
        <f>IF(AND('Mapa final'!$Y$54="Muy Alta",'Mapa final'!$AA$54="Leve"),CONCATENATE("R10C",'Mapa final'!$O$54),"")</f>
        <v/>
      </c>
      <c r="K15" s="57" t="str">
        <f>IF(AND('Mapa final'!$Y$55="Muy Alta",'Mapa final'!$AA$55="Leve"),CONCATENATE("R10C",'Mapa final'!$O$55),"")</f>
        <v/>
      </c>
      <c r="L15" s="57" t="str">
        <f>IF(AND('Mapa final'!$Y$56="Muy Alta",'Mapa final'!$AA$56="Leve"),CONCATENATE("R10C",'Mapa final'!$O$56),"")</f>
        <v/>
      </c>
      <c r="M15" s="57" t="str">
        <f>IF(AND('Mapa final'!$Y$57="Muy Alta",'Mapa final'!$AA$57="Leve"),CONCATENATE("R10C",'Mapa final'!$O$57),"")</f>
        <v/>
      </c>
      <c r="N15" s="57" t="str">
        <f>IF(AND('Mapa final'!$Y$58="Muy Alta",'Mapa final'!$AA$58="Leve"),CONCATENATE("R10C",'Mapa final'!$O$58),"")</f>
        <v/>
      </c>
      <c r="O15" s="58" t="str">
        <f>IF(AND('Mapa final'!$Y$59="Muy Alta",'Mapa final'!$AA$59="Leve"),CONCATENATE("R10C",'Mapa final'!$O$59),"")</f>
        <v/>
      </c>
      <c r="P15" s="50" t="str">
        <f>IF(AND('Mapa final'!$Y$54="Muy Alta",'Mapa final'!$AA$54="Menor"),CONCATENATE("R10C",'Mapa final'!$O$54),"")</f>
        <v/>
      </c>
      <c r="Q15" s="51" t="str">
        <f>IF(AND('Mapa final'!$Y$55="Muy Alta",'Mapa final'!$AA$55="Menor"),CONCATENATE("R10C",'Mapa final'!$O$55),"")</f>
        <v/>
      </c>
      <c r="R15" s="51" t="str">
        <f>IF(AND('Mapa final'!$Y$56="Muy Alta",'Mapa final'!$AA$56="Menor"),CONCATENATE("R10C",'Mapa final'!$O$56),"")</f>
        <v/>
      </c>
      <c r="S15" s="51" t="str">
        <f>IF(AND('Mapa final'!$Y$57="Muy Alta",'Mapa final'!$AA$57="Menor"),CONCATENATE("R10C",'Mapa final'!$O$57),"")</f>
        <v/>
      </c>
      <c r="T15" s="51" t="str">
        <f>IF(AND('Mapa final'!$Y$58="Muy Alta",'Mapa final'!$AA$58="Menor"),CONCATENATE("R10C",'Mapa final'!$O$58),"")</f>
        <v/>
      </c>
      <c r="U15" s="52" t="str">
        <f>IF(AND('Mapa final'!$Y$59="Muy Alta",'Mapa final'!$AA$59="Menor"),CONCATENATE("R10C",'Mapa final'!$O$59),"")</f>
        <v/>
      </c>
      <c r="V15" s="56" t="str">
        <f>IF(AND('Mapa final'!$Y$54="Muy Alta",'Mapa final'!$AA$54="Moderado"),CONCATENATE("R10C",'Mapa final'!$O$54),"")</f>
        <v/>
      </c>
      <c r="W15" s="57" t="str">
        <f>IF(AND('Mapa final'!$Y$55="Muy Alta",'Mapa final'!$AA$55="Moderado"),CONCATENATE("R10C",'Mapa final'!$O$55),"")</f>
        <v/>
      </c>
      <c r="X15" s="57" t="str">
        <f>IF(AND('Mapa final'!$Y$56="Muy Alta",'Mapa final'!$AA$56="Moderado"),CONCATENATE("R10C",'Mapa final'!$O$56),"")</f>
        <v/>
      </c>
      <c r="Y15" s="57" t="str">
        <f>IF(AND('Mapa final'!$Y$57="Muy Alta",'Mapa final'!$AA$57="Moderado"),CONCATENATE("R10C",'Mapa final'!$O$57),"")</f>
        <v/>
      </c>
      <c r="Z15" s="57" t="str">
        <f>IF(AND('Mapa final'!$Y$58="Muy Alta",'Mapa final'!$AA$58="Moderado"),CONCATENATE("R10C",'Mapa final'!$O$58),"")</f>
        <v/>
      </c>
      <c r="AA15" s="58" t="str">
        <f>IF(AND('Mapa final'!$Y$59="Muy Alta",'Mapa final'!$AA$59="Moderado"),CONCATENATE("R10C",'Mapa final'!$O$59),"")</f>
        <v/>
      </c>
      <c r="AB15" s="50" t="str">
        <f>IF(AND('Mapa final'!$Y$54="Muy Alta",'Mapa final'!$AA$54="Mayor"),CONCATENATE("R10C",'Mapa final'!$O$54),"")</f>
        <v/>
      </c>
      <c r="AC15" s="51" t="str">
        <f>IF(AND('Mapa final'!$Y$55="Muy Alta",'Mapa final'!$AA$55="Mayor"),CONCATENATE("R10C",'Mapa final'!$O$55),"")</f>
        <v/>
      </c>
      <c r="AD15" s="51" t="str">
        <f>IF(AND('Mapa final'!$Y$56="Muy Alta",'Mapa final'!$AA$56="Mayor"),CONCATENATE("R10C",'Mapa final'!$O$56),"")</f>
        <v/>
      </c>
      <c r="AE15" s="51" t="str">
        <f>IF(AND('Mapa final'!$Y$57="Muy Alta",'Mapa final'!$AA$57="Mayor"),CONCATENATE("R10C",'Mapa final'!$O$57),"")</f>
        <v/>
      </c>
      <c r="AF15" s="51" t="str">
        <f>IF(AND('Mapa final'!$Y$58="Muy Alta",'Mapa final'!$AA$58="Mayor"),CONCATENATE("R10C",'Mapa final'!$O$58),"")</f>
        <v/>
      </c>
      <c r="AG15" s="52" t="str">
        <f>IF(AND('Mapa final'!$Y$59="Muy Alta",'Mapa final'!$AA$59="Mayor"),CONCATENATE("R10C",'Mapa final'!$O$59),"")</f>
        <v/>
      </c>
      <c r="AH15" s="59" t="str">
        <f>IF(AND('Mapa final'!$Y$54="Muy Alta",'Mapa final'!$AA$54="Catastrófico"),CONCATENATE("R10C",'Mapa final'!$O$54),"")</f>
        <v/>
      </c>
      <c r="AI15" s="60" t="str">
        <f>IF(AND('Mapa final'!$Y$55="Muy Alta",'Mapa final'!$AA$55="Catastrófico"),CONCATENATE("R10C",'Mapa final'!$O$55),"")</f>
        <v/>
      </c>
      <c r="AJ15" s="60" t="str">
        <f>IF(AND('Mapa final'!$Y$56="Muy Alta",'Mapa final'!$AA$56="Catastrófico"),CONCATENATE("R10C",'Mapa final'!$O$56),"")</f>
        <v/>
      </c>
      <c r="AK15" s="60" t="str">
        <f>IF(AND('Mapa final'!$Y$57="Muy Alta",'Mapa final'!$AA$57="Catastrófico"),CONCATENATE("R10C",'Mapa final'!$O$57),"")</f>
        <v/>
      </c>
      <c r="AL15" s="60" t="str">
        <f>IF(AND('Mapa final'!$Y$58="Muy Alta",'Mapa final'!$AA$58="Catastrófico"),CONCATENATE("R10C",'Mapa final'!$O$58),"")</f>
        <v/>
      </c>
      <c r="AM15" s="61" t="str">
        <f>IF(AND('Mapa final'!$Y$59="Muy Alta",'Mapa final'!$AA$59="Catastrófico"),CONCATENATE("R10C",'Mapa final'!$O$59),"")</f>
        <v/>
      </c>
      <c r="AN15" s="81"/>
      <c r="AO15" s="353"/>
      <c r="AP15" s="354"/>
      <c r="AQ15" s="354"/>
      <c r="AR15" s="354"/>
      <c r="AS15" s="354"/>
      <c r="AT15" s="355"/>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289"/>
      <c r="C16" s="289"/>
      <c r="D16" s="290"/>
      <c r="E16" s="327" t="s">
        <v>115</v>
      </c>
      <c r="F16" s="328"/>
      <c r="G16" s="328"/>
      <c r="H16" s="328"/>
      <c r="I16" s="328"/>
      <c r="J16" s="62" t="str">
        <f>IF(AND('Mapa final'!$Y$10="Alta",'Mapa final'!$AA$10="Leve"),CONCATENATE("R1C",'Mapa final'!$O$10),"")</f>
        <v/>
      </c>
      <c r="K16" s="63" t="str">
        <f>IF(AND('Mapa final'!$Y$11="Alta",'Mapa final'!$AA$11="Leve"),CONCATENATE("R1C",'Mapa final'!$O$11),"")</f>
        <v/>
      </c>
      <c r="L16" s="63" t="str">
        <f>IF(AND('Mapa final'!$Y$12="Alta",'Mapa final'!$AA$12="Leve"),CONCATENATE("R1C",'Mapa final'!$O$12),"")</f>
        <v/>
      </c>
      <c r="M16" s="63" t="str">
        <f>IF(AND('Mapa final'!$Y$13="Alta",'Mapa final'!$AA$13="Leve"),CONCATENATE("R1C",'Mapa final'!$O$13),"")</f>
        <v/>
      </c>
      <c r="N16" s="63" t="e">
        <f>IF(AND('Mapa final'!#REF!="Alta",'Mapa final'!#REF!="Leve"),CONCATENATE("R1C",'Mapa final'!#REF!),"")</f>
        <v>#REF!</v>
      </c>
      <c r="O16" s="64" t="e">
        <f>IF(AND('Mapa final'!#REF!="Alta",'Mapa final'!#REF!="Leve"),CONCATENATE("R1C",'Mapa final'!#REF!),"")</f>
        <v>#REF!</v>
      </c>
      <c r="P16" s="62" t="str">
        <f>IF(AND('Mapa final'!$Y$10="Alta",'Mapa final'!$AA$10="Menor"),CONCATENATE("R1C",'Mapa final'!$O$10),"")</f>
        <v/>
      </c>
      <c r="Q16" s="63" t="str">
        <f>IF(AND('Mapa final'!$Y$11="Alta",'Mapa final'!$AA$11="Menor"),CONCATENATE("R1C",'Mapa final'!$O$11),"")</f>
        <v/>
      </c>
      <c r="R16" s="63" t="str">
        <f>IF(AND('Mapa final'!$Y$12="Alta",'Mapa final'!$AA$12="Menor"),CONCATENATE("R1C",'Mapa final'!$O$12),"")</f>
        <v/>
      </c>
      <c r="S16" s="63" t="str">
        <f>IF(AND('Mapa final'!$Y$13="Alta",'Mapa final'!$AA$13="Menor"),CONCATENATE("R1C",'Mapa final'!$O$13),"")</f>
        <v/>
      </c>
      <c r="T16" s="63" t="e">
        <f>IF(AND('Mapa final'!#REF!="Alta",'Mapa final'!#REF!="Menor"),CONCATENATE("R1C",'Mapa final'!#REF!),"")</f>
        <v>#REF!</v>
      </c>
      <c r="U16" s="64" t="e">
        <f>IF(AND('Mapa final'!#REF!="Alta",'Mapa final'!#REF!="Menor"),CONCATENATE("R1C",'Mapa final'!#REF!),"")</f>
        <v>#REF!</v>
      </c>
      <c r="V16" s="44" t="str">
        <f>IF(AND('Mapa final'!$Y$10="Alta",'Mapa final'!$AA$10="Moderado"),CONCATENATE("R1C",'Mapa final'!$O$10),"")</f>
        <v/>
      </c>
      <c r="W16" s="45" t="str">
        <f>IF(AND('Mapa final'!$Y$11="Alta",'Mapa final'!$AA$11="Moderado"),CONCATENATE("R1C",'Mapa final'!$O$11),"")</f>
        <v/>
      </c>
      <c r="X16" s="45" t="str">
        <f>IF(AND('Mapa final'!$Y$12="Alta",'Mapa final'!$AA$12="Moderado"),CONCATENATE("R1C",'Mapa final'!$O$12),"")</f>
        <v/>
      </c>
      <c r="Y16" s="45" t="str">
        <f>IF(AND('Mapa final'!$Y$13="Alta",'Mapa final'!$AA$13="Moderado"),CONCATENATE("R1C",'Mapa final'!$O$13),"")</f>
        <v/>
      </c>
      <c r="Z16" s="45" t="e">
        <f>IF(AND('Mapa final'!#REF!="Alta",'Mapa final'!#REF!="Moderado"),CONCATENATE("R1C",'Mapa final'!#REF!),"")</f>
        <v>#REF!</v>
      </c>
      <c r="AA16" s="46" t="e">
        <f>IF(AND('Mapa final'!#REF!="Alta",'Mapa final'!#REF!="Moderado"),CONCATENATE("R1C",'Mapa final'!#REF!),"")</f>
        <v>#REF!</v>
      </c>
      <c r="AB16" s="44" t="str">
        <f>IF(AND('Mapa final'!$Y$10="Alta",'Mapa final'!$AA$10="Mayor"),CONCATENATE("R1C",'Mapa final'!$O$10),"")</f>
        <v/>
      </c>
      <c r="AC16" s="45" t="str">
        <f>IF(AND('Mapa final'!$Y$11="Alta",'Mapa final'!$AA$11="Mayor"),CONCATENATE("R1C",'Mapa final'!$O$11),"")</f>
        <v/>
      </c>
      <c r="AD16" s="45" t="str">
        <f>IF(AND('Mapa final'!$Y$12="Alta",'Mapa final'!$AA$12="Mayor"),CONCATENATE("R1C",'Mapa final'!$O$12),"")</f>
        <v/>
      </c>
      <c r="AE16" s="45" t="str">
        <f>IF(AND('Mapa final'!$Y$13="Alta",'Mapa final'!$AA$13="Mayor"),CONCATENATE("R1C",'Mapa final'!$O$13),"")</f>
        <v/>
      </c>
      <c r="AF16" s="45" t="e">
        <f>IF(AND('Mapa final'!#REF!="Alta",'Mapa final'!#REF!="Mayor"),CONCATENATE("R1C",'Mapa final'!#REF!),"")</f>
        <v>#REF!</v>
      </c>
      <c r="AG16" s="46" t="e">
        <f>IF(AND('Mapa final'!#REF!="Alta",'Mapa final'!#REF!="Mayor"),CONCATENATE("R1C",'Mapa final'!#REF!),"")</f>
        <v>#REF!</v>
      </c>
      <c r="AH16" s="47" t="str">
        <f>IF(AND('Mapa final'!$Y$10="Alta",'Mapa final'!$AA$10="Catastrófico"),CONCATENATE("R1C",'Mapa final'!$O$10),"")</f>
        <v/>
      </c>
      <c r="AI16" s="48" t="str">
        <f>IF(AND('Mapa final'!$Y$11="Alta",'Mapa final'!$AA$11="Catastrófico"),CONCATENATE("R1C",'Mapa final'!$O$11),"")</f>
        <v/>
      </c>
      <c r="AJ16" s="48" t="str">
        <f>IF(AND('Mapa final'!$Y$12="Alta",'Mapa final'!$AA$12="Catastrófico"),CONCATENATE("R1C",'Mapa final'!$O$12),"")</f>
        <v/>
      </c>
      <c r="AK16" s="48" t="str">
        <f>IF(AND('Mapa final'!$Y$13="Alta",'Mapa final'!$AA$13="Catastrófico"),CONCATENATE("R1C",'Mapa final'!$O$13),"")</f>
        <v/>
      </c>
      <c r="AL16" s="48" t="e">
        <f>IF(AND('Mapa final'!#REF!="Alta",'Mapa final'!#REF!="Catastrófico"),CONCATENATE("R1C",'Mapa final'!#REF!),"")</f>
        <v>#REF!</v>
      </c>
      <c r="AM16" s="49" t="e">
        <f>IF(AND('Mapa final'!#REF!="Alta",'Mapa final'!#REF!="Catastrófico"),CONCATENATE("R1C",'Mapa final'!#REF!),"")</f>
        <v>#REF!</v>
      </c>
      <c r="AN16" s="81"/>
      <c r="AO16" s="337" t="s">
        <v>80</v>
      </c>
      <c r="AP16" s="338"/>
      <c r="AQ16" s="338"/>
      <c r="AR16" s="338"/>
      <c r="AS16" s="338"/>
      <c r="AT16" s="33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289"/>
      <c r="C17" s="289"/>
      <c r="D17" s="290"/>
      <c r="E17" s="346"/>
      <c r="F17" s="331"/>
      <c r="G17" s="331"/>
      <c r="H17" s="331"/>
      <c r="I17" s="331"/>
      <c r="J17" s="65" t="str">
        <f>IF(AND('Mapa final'!$Y$14="Alta",'Mapa final'!$AA$14="Leve"),CONCATENATE("R2C",'Mapa final'!$O$14),"")</f>
        <v/>
      </c>
      <c r="K17" s="66" t="str">
        <f>IF(AND('Mapa final'!$Y$15="Alta",'Mapa final'!$AA$15="Leve"),CONCATENATE("R2C",'Mapa final'!$O$15),"")</f>
        <v/>
      </c>
      <c r="L17" s="66" t="str">
        <f>IF(AND('Mapa final'!$Y$16="Alta",'Mapa final'!$AA$16="Leve"),CONCATENATE("R2C",'Mapa final'!$O$16),"")</f>
        <v/>
      </c>
      <c r="M17" s="66" t="str">
        <f>IF(AND('Mapa final'!$Y$17="Alta",'Mapa final'!$AA$17="Leve"),CONCATENATE("R2C",'Mapa final'!$O$17),"")</f>
        <v/>
      </c>
      <c r="N17" s="66" t="e">
        <f>IF(AND('Mapa final'!#REF!="Alta",'Mapa final'!#REF!="Leve"),CONCATENATE("R2C",'Mapa final'!#REF!),"")</f>
        <v>#REF!</v>
      </c>
      <c r="O17" s="67" t="e">
        <f>IF(AND('Mapa final'!#REF!="Alta",'Mapa final'!#REF!="Leve"),CONCATENATE("R2C",'Mapa final'!#REF!),"")</f>
        <v>#REF!</v>
      </c>
      <c r="P17" s="65" t="str">
        <f>IF(AND('Mapa final'!$Y$14="Alta",'Mapa final'!$AA$14="Menor"),CONCATENATE("R2C",'Mapa final'!$O$14),"")</f>
        <v/>
      </c>
      <c r="Q17" s="66" t="str">
        <f>IF(AND('Mapa final'!$Y$15="Alta",'Mapa final'!$AA$15="Menor"),CONCATENATE("R2C",'Mapa final'!$O$15),"")</f>
        <v/>
      </c>
      <c r="R17" s="66" t="str">
        <f>IF(AND('Mapa final'!$Y$16="Alta",'Mapa final'!$AA$16="Menor"),CONCATENATE("R2C",'Mapa final'!$O$16),"")</f>
        <v/>
      </c>
      <c r="S17" s="66" t="str">
        <f>IF(AND('Mapa final'!$Y$17="Alta",'Mapa final'!$AA$17="Menor"),CONCATENATE("R2C",'Mapa final'!$O$17),"")</f>
        <v/>
      </c>
      <c r="T17" s="66" t="e">
        <f>IF(AND('Mapa final'!#REF!="Alta",'Mapa final'!#REF!="Menor"),CONCATENATE("R2C",'Mapa final'!#REF!),"")</f>
        <v>#REF!</v>
      </c>
      <c r="U17" s="67" t="e">
        <f>IF(AND('Mapa final'!#REF!="Alta",'Mapa final'!#REF!="Menor"),CONCATENATE("R2C",'Mapa final'!#REF!),"")</f>
        <v>#REF!</v>
      </c>
      <c r="V17" s="50" t="str">
        <f>IF(AND('Mapa final'!$Y$14="Alta",'Mapa final'!$AA$14="Moderado"),CONCATENATE("R2C",'Mapa final'!$O$14),"")</f>
        <v/>
      </c>
      <c r="W17" s="51" t="str">
        <f>IF(AND('Mapa final'!$Y$15="Alta",'Mapa final'!$AA$15="Moderado"),CONCATENATE("R2C",'Mapa final'!$O$15),"")</f>
        <v/>
      </c>
      <c r="X17" s="51" t="str">
        <f>IF(AND('Mapa final'!$Y$16="Alta",'Mapa final'!$AA$16="Moderado"),CONCATENATE("R2C",'Mapa final'!$O$16),"")</f>
        <v/>
      </c>
      <c r="Y17" s="51" t="str">
        <f>IF(AND('Mapa final'!$Y$17="Alta",'Mapa final'!$AA$17="Moderado"),CONCATENATE("R2C",'Mapa final'!$O$17),"")</f>
        <v/>
      </c>
      <c r="Z17" s="51" t="e">
        <f>IF(AND('Mapa final'!#REF!="Alta",'Mapa final'!#REF!="Moderado"),CONCATENATE("R2C",'Mapa final'!#REF!),"")</f>
        <v>#REF!</v>
      </c>
      <c r="AA17" s="52" t="e">
        <f>IF(AND('Mapa final'!#REF!="Alta",'Mapa final'!#REF!="Moderado"),CONCATENATE("R2C",'Mapa final'!#REF!),"")</f>
        <v>#REF!</v>
      </c>
      <c r="AB17" s="50" t="str">
        <f>IF(AND('Mapa final'!$Y$14="Alta",'Mapa final'!$AA$14="Mayor"),CONCATENATE("R2C",'Mapa final'!$O$14),"")</f>
        <v/>
      </c>
      <c r="AC17" s="51" t="str">
        <f>IF(AND('Mapa final'!$Y$15="Alta",'Mapa final'!$AA$15="Mayor"),CONCATENATE("R2C",'Mapa final'!$O$15),"")</f>
        <v/>
      </c>
      <c r="AD17" s="51" t="str">
        <f>IF(AND('Mapa final'!$Y$16="Alta",'Mapa final'!$AA$16="Mayor"),CONCATENATE("R2C",'Mapa final'!$O$16),"")</f>
        <v/>
      </c>
      <c r="AE17" s="51" t="str">
        <f>IF(AND('Mapa final'!$Y$17="Alta",'Mapa final'!$AA$17="Mayor"),CONCATENATE("R2C",'Mapa final'!$O$17),"")</f>
        <v/>
      </c>
      <c r="AF17" s="51" t="e">
        <f>IF(AND('Mapa final'!#REF!="Alta",'Mapa final'!#REF!="Mayor"),CONCATENATE("R2C",'Mapa final'!#REF!),"")</f>
        <v>#REF!</v>
      </c>
      <c r="AG17" s="52" t="e">
        <f>IF(AND('Mapa final'!#REF!="Alta",'Mapa final'!#REF!="Mayor"),CONCATENATE("R2C",'Mapa final'!#REF!),"")</f>
        <v>#REF!</v>
      </c>
      <c r="AH17" s="53" t="str">
        <f>IF(AND('Mapa final'!$Y$14="Alta",'Mapa final'!$AA$14="Catastrófico"),CONCATENATE("R2C",'Mapa final'!$O$14),"")</f>
        <v/>
      </c>
      <c r="AI17" s="54" t="str">
        <f>IF(AND('Mapa final'!$Y$15="Alta",'Mapa final'!$AA$15="Catastrófico"),CONCATENATE("R2C",'Mapa final'!$O$15),"")</f>
        <v/>
      </c>
      <c r="AJ17" s="54" t="str">
        <f>IF(AND('Mapa final'!$Y$16="Alta",'Mapa final'!$AA$16="Catastrófico"),CONCATENATE("R2C",'Mapa final'!$O$16),"")</f>
        <v/>
      </c>
      <c r="AK17" s="54" t="str">
        <f>IF(AND('Mapa final'!$Y$17="Alta",'Mapa final'!$AA$17="Catastrófico"),CONCATENATE("R2C",'Mapa final'!$O$17),"")</f>
        <v/>
      </c>
      <c r="AL17" s="54" t="e">
        <f>IF(AND('Mapa final'!#REF!="Alta",'Mapa final'!#REF!="Catastrófico"),CONCATENATE("R2C",'Mapa final'!#REF!),"")</f>
        <v>#REF!</v>
      </c>
      <c r="AM17" s="55" t="e">
        <f>IF(AND('Mapa final'!#REF!="Alta",'Mapa final'!#REF!="Catastrófico"),CONCATENATE("R2C",'Mapa final'!#REF!),"")</f>
        <v>#REF!</v>
      </c>
      <c r="AN17" s="81"/>
      <c r="AO17" s="340"/>
      <c r="AP17" s="341"/>
      <c r="AQ17" s="341"/>
      <c r="AR17" s="341"/>
      <c r="AS17" s="341"/>
      <c r="AT17" s="342"/>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289"/>
      <c r="C18" s="289"/>
      <c r="D18" s="290"/>
      <c r="E18" s="330"/>
      <c r="F18" s="331"/>
      <c r="G18" s="331"/>
      <c r="H18" s="331"/>
      <c r="I18" s="331"/>
      <c r="J18" s="65" t="str">
        <f>IF(AND('Mapa final'!$Y$18="Alta",'Mapa final'!$AA$18="Leve"),CONCATENATE("R3C",'Mapa final'!$O$18),"")</f>
        <v/>
      </c>
      <c r="K18" s="66" t="str">
        <f>IF(AND('Mapa final'!$Y$19="Alta",'Mapa final'!$AA$19="Leve"),CONCATENATE("R3C",'Mapa final'!$O$19),"")</f>
        <v/>
      </c>
      <c r="L18" s="66" t="e">
        <f>IF(AND('Mapa final'!#REF!="Alta",'Mapa final'!#REF!="Leve"),CONCATENATE("R3C",'Mapa final'!#REF!),"")</f>
        <v>#REF!</v>
      </c>
      <c r="M18" s="66" t="e">
        <f>IF(AND('Mapa final'!#REF!="Alta",'Mapa final'!#REF!="Leve"),CONCATENATE("R3C",'Mapa final'!#REF!),"")</f>
        <v>#REF!</v>
      </c>
      <c r="N18" s="66" t="e">
        <f>IF(AND('Mapa final'!#REF!="Alta",'Mapa final'!#REF!="Leve"),CONCATENATE("R3C",'Mapa final'!#REF!),"")</f>
        <v>#REF!</v>
      </c>
      <c r="O18" s="67" t="e">
        <f>IF(AND('Mapa final'!#REF!="Alta",'Mapa final'!#REF!="Leve"),CONCATENATE("R3C",'Mapa final'!#REF!),"")</f>
        <v>#REF!</v>
      </c>
      <c r="P18" s="65" t="str">
        <f>IF(AND('Mapa final'!$Y$18="Alta",'Mapa final'!$AA$18="Menor"),CONCATENATE("R3C",'Mapa final'!$O$18),"")</f>
        <v/>
      </c>
      <c r="Q18" s="66" t="str">
        <f>IF(AND('Mapa final'!$Y$19="Alta",'Mapa final'!$AA$19="Menor"),CONCATENATE("R3C",'Mapa final'!$O$19),"")</f>
        <v/>
      </c>
      <c r="R18" s="66" t="e">
        <f>IF(AND('Mapa final'!#REF!="Alta",'Mapa final'!#REF!="Menor"),CONCATENATE("R3C",'Mapa final'!#REF!),"")</f>
        <v>#REF!</v>
      </c>
      <c r="S18" s="66" t="e">
        <f>IF(AND('Mapa final'!#REF!="Alta",'Mapa final'!#REF!="Menor"),CONCATENATE("R3C",'Mapa final'!#REF!),"")</f>
        <v>#REF!</v>
      </c>
      <c r="T18" s="66" t="e">
        <f>IF(AND('Mapa final'!#REF!="Alta",'Mapa final'!#REF!="Menor"),CONCATENATE("R3C",'Mapa final'!#REF!),"")</f>
        <v>#REF!</v>
      </c>
      <c r="U18" s="67" t="e">
        <f>IF(AND('Mapa final'!#REF!="Alta",'Mapa final'!#REF!="Menor"),CONCATENATE("R3C",'Mapa final'!#REF!),"")</f>
        <v>#REF!</v>
      </c>
      <c r="V18" s="50" t="str">
        <f>IF(AND('Mapa final'!$Y$18="Alta",'Mapa final'!$AA$18="Moderado"),CONCATENATE("R3C",'Mapa final'!$O$18),"")</f>
        <v/>
      </c>
      <c r="W18" s="51" t="str">
        <f>IF(AND('Mapa final'!$Y$19="Alta",'Mapa final'!$AA$19="Moderado"),CONCATENATE("R3C",'Mapa final'!$O$19),"")</f>
        <v/>
      </c>
      <c r="X18" s="51" t="e">
        <f>IF(AND('Mapa final'!#REF!="Alta",'Mapa final'!#REF!="Moderado"),CONCATENATE("R3C",'Mapa final'!#REF!),"")</f>
        <v>#REF!</v>
      </c>
      <c r="Y18" s="51" t="e">
        <f>IF(AND('Mapa final'!#REF!="Alta",'Mapa final'!#REF!="Moderado"),CONCATENATE("R3C",'Mapa final'!#REF!),"")</f>
        <v>#REF!</v>
      </c>
      <c r="Z18" s="51" t="e">
        <f>IF(AND('Mapa final'!#REF!="Alta",'Mapa final'!#REF!="Moderado"),CONCATENATE("R3C",'Mapa final'!#REF!),"")</f>
        <v>#REF!</v>
      </c>
      <c r="AA18" s="52" t="e">
        <f>IF(AND('Mapa final'!#REF!="Alta",'Mapa final'!#REF!="Moderado"),CONCATENATE("R3C",'Mapa final'!#REF!),"")</f>
        <v>#REF!</v>
      </c>
      <c r="AB18" s="50" t="str">
        <f>IF(AND('Mapa final'!$Y$18="Alta",'Mapa final'!$AA$18="Mayor"),CONCATENATE("R3C",'Mapa final'!$O$18),"")</f>
        <v/>
      </c>
      <c r="AC18" s="51" t="str">
        <f>IF(AND('Mapa final'!$Y$19="Alta",'Mapa final'!$AA$19="Mayor"),CONCATENATE("R3C",'Mapa final'!$O$19),"")</f>
        <v/>
      </c>
      <c r="AD18" s="51" t="e">
        <f>IF(AND('Mapa final'!#REF!="Alta",'Mapa final'!#REF!="Mayor"),CONCATENATE("R3C",'Mapa final'!#REF!),"")</f>
        <v>#REF!</v>
      </c>
      <c r="AE18" s="51" t="e">
        <f>IF(AND('Mapa final'!#REF!="Alta",'Mapa final'!#REF!="Mayor"),CONCATENATE("R3C",'Mapa final'!#REF!),"")</f>
        <v>#REF!</v>
      </c>
      <c r="AF18" s="51" t="e">
        <f>IF(AND('Mapa final'!#REF!="Alta",'Mapa final'!#REF!="Mayor"),CONCATENATE("R3C",'Mapa final'!#REF!),"")</f>
        <v>#REF!</v>
      </c>
      <c r="AG18" s="52" t="e">
        <f>IF(AND('Mapa final'!#REF!="Alta",'Mapa final'!#REF!="Mayor"),CONCATENATE("R3C",'Mapa final'!#REF!),"")</f>
        <v>#REF!</v>
      </c>
      <c r="AH18" s="53" t="str">
        <f>IF(AND('Mapa final'!$Y$18="Alta",'Mapa final'!$AA$18="Catastrófico"),CONCATENATE("R3C",'Mapa final'!$O$18),"")</f>
        <v/>
      </c>
      <c r="AI18" s="54" t="str">
        <f>IF(AND('Mapa final'!$Y$19="Alta",'Mapa final'!$AA$19="Catastrófico"),CONCATENATE("R3C",'Mapa final'!$O$19),"")</f>
        <v/>
      </c>
      <c r="AJ18" s="54" t="e">
        <f>IF(AND('Mapa final'!#REF!="Alta",'Mapa final'!#REF!="Catastrófico"),CONCATENATE("R3C",'Mapa final'!#REF!),"")</f>
        <v>#REF!</v>
      </c>
      <c r="AK18" s="54" t="e">
        <f>IF(AND('Mapa final'!#REF!="Alta",'Mapa final'!#REF!="Catastrófico"),CONCATENATE("R3C",'Mapa final'!#REF!),"")</f>
        <v>#REF!</v>
      </c>
      <c r="AL18" s="54" t="e">
        <f>IF(AND('Mapa final'!#REF!="Alta",'Mapa final'!#REF!="Catastrófico"),CONCATENATE("R3C",'Mapa final'!#REF!),"")</f>
        <v>#REF!</v>
      </c>
      <c r="AM18" s="55" t="e">
        <f>IF(AND('Mapa final'!#REF!="Alta",'Mapa final'!#REF!="Catastrófico"),CONCATENATE("R3C",'Mapa final'!#REF!),"")</f>
        <v>#REF!</v>
      </c>
      <c r="AN18" s="81"/>
      <c r="AO18" s="340"/>
      <c r="AP18" s="341"/>
      <c r="AQ18" s="341"/>
      <c r="AR18" s="341"/>
      <c r="AS18" s="341"/>
      <c r="AT18" s="342"/>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289"/>
      <c r="C19" s="289"/>
      <c r="D19" s="290"/>
      <c r="E19" s="330"/>
      <c r="F19" s="331"/>
      <c r="G19" s="331"/>
      <c r="H19" s="331"/>
      <c r="I19" s="331"/>
      <c r="J19" s="65" t="str">
        <f>IF(AND('Mapa final'!$Y$20="Alta",'Mapa final'!$AA$20="Leve"),CONCATENATE("R4C",'Mapa final'!$O$20),"")</f>
        <v/>
      </c>
      <c r="K19" s="66" t="str">
        <f>IF(AND('Mapa final'!$Y$21="Alta",'Mapa final'!$AA$21="Leve"),CONCATENATE("R4C",'Mapa final'!$O$21),"")</f>
        <v/>
      </c>
      <c r="L19" s="66" t="str">
        <f>IF(AND('Mapa final'!$Y$22="Alta",'Mapa final'!$AA$22="Leve"),CONCATENATE("R4C",'Mapa final'!$O$22),"")</f>
        <v/>
      </c>
      <c r="M19" s="66" t="str">
        <f>IF(AND('Mapa final'!$Y$23="Alta",'Mapa final'!$AA$23="Leve"),CONCATENATE("R4C",'Mapa final'!$O$23),"")</f>
        <v/>
      </c>
      <c r="N19" s="66" t="e">
        <f>IF(AND('Mapa final'!#REF!="Alta",'Mapa final'!#REF!="Leve"),CONCATENATE("R4C",'Mapa final'!#REF!),"")</f>
        <v>#REF!</v>
      </c>
      <c r="O19" s="67" t="e">
        <f>IF(AND('Mapa final'!#REF!="Alta",'Mapa final'!#REF!="Leve"),CONCATENATE("R4C",'Mapa final'!#REF!),"")</f>
        <v>#REF!</v>
      </c>
      <c r="P19" s="65" t="str">
        <f>IF(AND('Mapa final'!$Y$20="Alta",'Mapa final'!$AA$20="Menor"),CONCATENATE("R4C",'Mapa final'!$O$20),"")</f>
        <v/>
      </c>
      <c r="Q19" s="66" t="str">
        <f>IF(AND('Mapa final'!$Y$21="Alta",'Mapa final'!$AA$21="Menor"),CONCATENATE("R4C",'Mapa final'!$O$21),"")</f>
        <v/>
      </c>
      <c r="R19" s="66" t="str">
        <f>IF(AND('Mapa final'!$Y$22="Alta",'Mapa final'!$AA$22="Menor"),CONCATENATE("R4C",'Mapa final'!$O$22),"")</f>
        <v/>
      </c>
      <c r="S19" s="66" t="str">
        <f>IF(AND('Mapa final'!$Y$23="Alta",'Mapa final'!$AA$23="Menor"),CONCATENATE("R4C",'Mapa final'!$O$23),"")</f>
        <v/>
      </c>
      <c r="T19" s="66" t="e">
        <f>IF(AND('Mapa final'!#REF!="Alta",'Mapa final'!#REF!="Menor"),CONCATENATE("R4C",'Mapa final'!#REF!),"")</f>
        <v>#REF!</v>
      </c>
      <c r="U19" s="67" t="e">
        <f>IF(AND('Mapa final'!#REF!="Alta",'Mapa final'!#REF!="Menor"),CONCATENATE("R4C",'Mapa final'!#REF!),"")</f>
        <v>#REF!</v>
      </c>
      <c r="V19" s="50" t="str">
        <f>IF(AND('Mapa final'!$Y$20="Alta",'Mapa final'!$AA$20="Moderado"),CONCATENATE("R4C",'Mapa final'!$O$20),"")</f>
        <v/>
      </c>
      <c r="W19" s="51" t="str">
        <f>IF(AND('Mapa final'!$Y$21="Alta",'Mapa final'!$AA$21="Moderado"),CONCATENATE("R4C",'Mapa final'!$O$21),"")</f>
        <v/>
      </c>
      <c r="X19" s="51" t="str">
        <f>IF(AND('Mapa final'!$Y$22="Alta",'Mapa final'!$AA$22="Moderado"),CONCATENATE("R4C",'Mapa final'!$O$22),"")</f>
        <v/>
      </c>
      <c r="Y19" s="51" t="str">
        <f>IF(AND('Mapa final'!$Y$23="Alta",'Mapa final'!$AA$23="Moderado"),CONCATENATE("R4C",'Mapa final'!$O$23),"")</f>
        <v/>
      </c>
      <c r="Z19" s="51" t="e">
        <f>IF(AND('Mapa final'!#REF!="Alta",'Mapa final'!#REF!="Moderado"),CONCATENATE("R4C",'Mapa final'!#REF!),"")</f>
        <v>#REF!</v>
      </c>
      <c r="AA19" s="52" t="e">
        <f>IF(AND('Mapa final'!#REF!="Alta",'Mapa final'!#REF!="Moderado"),CONCATENATE("R4C",'Mapa final'!#REF!),"")</f>
        <v>#REF!</v>
      </c>
      <c r="AB19" s="50" t="str">
        <f>IF(AND('Mapa final'!$Y$20="Alta",'Mapa final'!$AA$20="Mayor"),CONCATENATE("R4C",'Mapa final'!$O$20),"")</f>
        <v/>
      </c>
      <c r="AC19" s="51" t="str">
        <f>IF(AND('Mapa final'!$Y$21="Alta",'Mapa final'!$AA$21="Mayor"),CONCATENATE("R4C",'Mapa final'!$O$21),"")</f>
        <v/>
      </c>
      <c r="AD19" s="51" t="str">
        <f>IF(AND('Mapa final'!$Y$22="Alta",'Mapa final'!$AA$22="Mayor"),CONCATENATE("R4C",'Mapa final'!$O$22),"")</f>
        <v/>
      </c>
      <c r="AE19" s="51" t="str">
        <f>IF(AND('Mapa final'!$Y$23="Alta",'Mapa final'!$AA$23="Mayor"),CONCATENATE("R4C",'Mapa final'!$O$23),"")</f>
        <v/>
      </c>
      <c r="AF19" s="51" t="e">
        <f>IF(AND('Mapa final'!#REF!="Alta",'Mapa final'!#REF!="Mayor"),CONCATENATE("R4C",'Mapa final'!#REF!),"")</f>
        <v>#REF!</v>
      </c>
      <c r="AG19" s="52" t="e">
        <f>IF(AND('Mapa final'!#REF!="Alta",'Mapa final'!#REF!="Mayor"),CONCATENATE("R4C",'Mapa final'!#REF!),"")</f>
        <v>#REF!</v>
      </c>
      <c r="AH19" s="53" t="str">
        <f>IF(AND('Mapa final'!$Y$20="Alta",'Mapa final'!$AA$20="Catastrófico"),CONCATENATE("R4C",'Mapa final'!$O$20),"")</f>
        <v/>
      </c>
      <c r="AI19" s="54" t="str">
        <f>IF(AND('Mapa final'!$Y$21="Alta",'Mapa final'!$AA$21="Catastrófico"),CONCATENATE("R4C",'Mapa final'!$O$21),"")</f>
        <v/>
      </c>
      <c r="AJ19" s="54" t="str">
        <f>IF(AND('Mapa final'!$Y$22="Alta",'Mapa final'!$AA$22="Catastrófico"),CONCATENATE("R4C",'Mapa final'!$O$22),"")</f>
        <v/>
      </c>
      <c r="AK19" s="54" t="str">
        <f>IF(AND('Mapa final'!$Y$23="Alta",'Mapa final'!$AA$23="Catastrófico"),CONCATENATE("R4C",'Mapa final'!$O$23),"")</f>
        <v/>
      </c>
      <c r="AL19" s="54" t="e">
        <f>IF(AND('Mapa final'!#REF!="Alta",'Mapa final'!#REF!="Catastrófico"),CONCATENATE("R4C",'Mapa final'!#REF!),"")</f>
        <v>#REF!</v>
      </c>
      <c r="AM19" s="55" t="e">
        <f>IF(AND('Mapa final'!#REF!="Alta",'Mapa final'!#REF!="Catastrófico"),CONCATENATE("R4C",'Mapa final'!#REF!),"")</f>
        <v>#REF!</v>
      </c>
      <c r="AN19" s="81"/>
      <c r="AO19" s="340"/>
      <c r="AP19" s="341"/>
      <c r="AQ19" s="341"/>
      <c r="AR19" s="341"/>
      <c r="AS19" s="341"/>
      <c r="AT19" s="342"/>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289"/>
      <c r="C20" s="289"/>
      <c r="D20" s="290"/>
      <c r="E20" s="330"/>
      <c r="F20" s="331"/>
      <c r="G20" s="331"/>
      <c r="H20" s="331"/>
      <c r="I20" s="331"/>
      <c r="J20" s="65" t="str">
        <f>IF(AND('Mapa final'!$Y$24="Alta",'Mapa final'!$AA$24="Leve"),CONCATENATE("R5C",'Mapa final'!$O$24),"")</f>
        <v/>
      </c>
      <c r="K20" s="66" t="str">
        <f>IF(AND('Mapa final'!$Y$25="Alta",'Mapa final'!$AA$25="Leve"),CONCATENATE("R5C",'Mapa final'!$O$25),"")</f>
        <v/>
      </c>
      <c r="L20" s="66" t="str">
        <f>IF(AND('Mapa final'!$Y$26="Alta",'Mapa final'!$AA$26="Leve"),CONCATENATE("R5C",'Mapa final'!$O$26),"")</f>
        <v/>
      </c>
      <c r="M20" s="66" t="str">
        <f>IF(AND('Mapa final'!$Y$27="Alta",'Mapa final'!$AA$27="Leve"),CONCATENATE("R5C",'Mapa final'!$O$27),"")</f>
        <v/>
      </c>
      <c r="N20" s="66" t="str">
        <f>IF(AND('Mapa final'!$Y$28="Alta",'Mapa final'!$AA$28="Leve"),CONCATENATE("R5C",'Mapa final'!$O$28),"")</f>
        <v/>
      </c>
      <c r="O20" s="67" t="str">
        <f>IF(AND('Mapa final'!$Y$29="Alta",'Mapa final'!$AA$29="Leve"),CONCATENATE("R5C",'Mapa final'!$O$29),"")</f>
        <v/>
      </c>
      <c r="P20" s="65" t="str">
        <f>IF(AND('Mapa final'!$Y$24="Alta",'Mapa final'!$AA$24="Menor"),CONCATENATE("R5C",'Mapa final'!$O$24),"")</f>
        <v/>
      </c>
      <c r="Q20" s="66" t="str">
        <f>IF(AND('Mapa final'!$Y$25="Alta",'Mapa final'!$AA$25="Menor"),CONCATENATE("R5C",'Mapa final'!$O$25),"")</f>
        <v/>
      </c>
      <c r="R20" s="66" t="str">
        <f>IF(AND('Mapa final'!$Y$26="Alta",'Mapa final'!$AA$26="Menor"),CONCATENATE("R5C",'Mapa final'!$O$26),"")</f>
        <v/>
      </c>
      <c r="S20" s="66" t="str">
        <f>IF(AND('Mapa final'!$Y$27="Alta",'Mapa final'!$AA$27="Menor"),CONCATENATE("R5C",'Mapa final'!$O$27),"")</f>
        <v/>
      </c>
      <c r="T20" s="66" t="str">
        <f>IF(AND('Mapa final'!$Y$28="Alta",'Mapa final'!$AA$28="Menor"),CONCATENATE("R5C",'Mapa final'!$O$28),"")</f>
        <v/>
      </c>
      <c r="U20" s="67" t="str">
        <f>IF(AND('Mapa final'!$Y$29="Alta",'Mapa final'!$AA$29="Menor"),CONCATENATE("R5C",'Mapa final'!$O$29),"")</f>
        <v/>
      </c>
      <c r="V20" s="50" t="str">
        <f>IF(AND('Mapa final'!$Y$24="Alta",'Mapa final'!$AA$24="Moderado"),CONCATENATE("R5C",'Mapa final'!$O$24),"")</f>
        <v/>
      </c>
      <c r="W20" s="51" t="str">
        <f>IF(AND('Mapa final'!$Y$25="Alta",'Mapa final'!$AA$25="Moderado"),CONCATENATE("R5C",'Mapa final'!$O$25),"")</f>
        <v/>
      </c>
      <c r="X20" s="51" t="str">
        <f>IF(AND('Mapa final'!$Y$26="Alta",'Mapa final'!$AA$26="Moderado"),CONCATENATE("R5C",'Mapa final'!$O$26),"")</f>
        <v/>
      </c>
      <c r="Y20" s="51" t="str">
        <f>IF(AND('Mapa final'!$Y$27="Alta",'Mapa final'!$AA$27="Moderado"),CONCATENATE("R5C",'Mapa final'!$O$27),"")</f>
        <v/>
      </c>
      <c r="Z20" s="51" t="str">
        <f>IF(AND('Mapa final'!$Y$28="Alta",'Mapa final'!$AA$28="Moderado"),CONCATENATE("R5C",'Mapa final'!$O$28),"")</f>
        <v/>
      </c>
      <c r="AA20" s="52" t="str">
        <f>IF(AND('Mapa final'!$Y$29="Alta",'Mapa final'!$AA$29="Moderado"),CONCATENATE("R5C",'Mapa final'!$O$29),"")</f>
        <v/>
      </c>
      <c r="AB20" s="50" t="str">
        <f>IF(AND('Mapa final'!$Y$24="Alta",'Mapa final'!$AA$24="Mayor"),CONCATENATE("R5C",'Mapa final'!$O$24),"")</f>
        <v/>
      </c>
      <c r="AC20" s="51" t="str">
        <f>IF(AND('Mapa final'!$Y$25="Alta",'Mapa final'!$AA$25="Mayor"),CONCATENATE("R5C",'Mapa final'!$O$25),"")</f>
        <v/>
      </c>
      <c r="AD20" s="51" t="str">
        <f>IF(AND('Mapa final'!$Y$26="Alta",'Mapa final'!$AA$26="Mayor"),CONCATENATE("R5C",'Mapa final'!$O$26),"")</f>
        <v/>
      </c>
      <c r="AE20" s="51" t="str">
        <f>IF(AND('Mapa final'!$Y$27="Alta",'Mapa final'!$AA$27="Mayor"),CONCATENATE("R5C",'Mapa final'!$O$27),"")</f>
        <v/>
      </c>
      <c r="AF20" s="51" t="str">
        <f>IF(AND('Mapa final'!$Y$28="Alta",'Mapa final'!$AA$28="Mayor"),CONCATENATE("R5C",'Mapa final'!$O$28),"")</f>
        <v/>
      </c>
      <c r="AG20" s="52" t="str">
        <f>IF(AND('Mapa final'!$Y$29="Alta",'Mapa final'!$AA$29="Mayor"),CONCATENATE("R5C",'Mapa final'!$O$29),"")</f>
        <v/>
      </c>
      <c r="AH20" s="53" t="str">
        <f>IF(AND('Mapa final'!$Y$24="Alta",'Mapa final'!$AA$24="Catastrófico"),CONCATENATE("R5C",'Mapa final'!$O$24),"")</f>
        <v/>
      </c>
      <c r="AI20" s="54" t="str">
        <f>IF(AND('Mapa final'!$Y$25="Alta",'Mapa final'!$AA$25="Catastrófico"),CONCATENATE("R5C",'Mapa final'!$O$25),"")</f>
        <v/>
      </c>
      <c r="AJ20" s="54" t="str">
        <f>IF(AND('Mapa final'!$Y$26="Alta",'Mapa final'!$AA$26="Catastrófico"),CONCATENATE("R5C",'Mapa final'!$O$26),"")</f>
        <v/>
      </c>
      <c r="AK20" s="54" t="str">
        <f>IF(AND('Mapa final'!$Y$27="Alta",'Mapa final'!$AA$27="Catastrófico"),CONCATENATE("R5C",'Mapa final'!$O$27),"")</f>
        <v/>
      </c>
      <c r="AL20" s="54" t="str">
        <f>IF(AND('Mapa final'!$Y$28="Alta",'Mapa final'!$AA$28="Catastrófico"),CONCATENATE("R5C",'Mapa final'!$O$28),"")</f>
        <v/>
      </c>
      <c r="AM20" s="55" t="str">
        <f>IF(AND('Mapa final'!$Y$29="Alta",'Mapa final'!$AA$29="Catastrófico"),CONCATENATE("R5C",'Mapa final'!$O$29),"")</f>
        <v/>
      </c>
      <c r="AN20" s="81"/>
      <c r="AO20" s="340"/>
      <c r="AP20" s="341"/>
      <c r="AQ20" s="341"/>
      <c r="AR20" s="341"/>
      <c r="AS20" s="341"/>
      <c r="AT20" s="342"/>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289"/>
      <c r="C21" s="289"/>
      <c r="D21" s="290"/>
      <c r="E21" s="330"/>
      <c r="F21" s="331"/>
      <c r="G21" s="331"/>
      <c r="H21" s="331"/>
      <c r="I21" s="331"/>
      <c r="J21" s="65" t="str">
        <f>IF(AND('Mapa final'!$Y$30="Alta",'Mapa final'!$AA$30="Leve"),CONCATENATE("R6C",'Mapa final'!$O$30),"")</f>
        <v/>
      </c>
      <c r="K21" s="66" t="str">
        <f>IF(AND('Mapa final'!$Y$31="Alta",'Mapa final'!$AA$31="Leve"),CONCATENATE("R6C",'Mapa final'!$O$31),"")</f>
        <v/>
      </c>
      <c r="L21" s="66" t="str">
        <f>IF(AND('Mapa final'!$Y$32="Alta",'Mapa final'!$AA$32="Leve"),CONCATENATE("R6C",'Mapa final'!$O$32),"")</f>
        <v/>
      </c>
      <c r="M21" s="66" t="str">
        <f>IF(AND('Mapa final'!$Y$33="Alta",'Mapa final'!$AA$33="Leve"),CONCATENATE("R6C",'Mapa final'!$O$33),"")</f>
        <v/>
      </c>
      <c r="N21" s="66" t="str">
        <f>IF(AND('Mapa final'!$Y$34="Alta",'Mapa final'!$AA$34="Leve"),CONCATENATE("R6C",'Mapa final'!$O$34),"")</f>
        <v/>
      </c>
      <c r="O21" s="67" t="str">
        <f>IF(AND('Mapa final'!$Y$35="Alta",'Mapa final'!$AA$35="Leve"),CONCATENATE("R6C",'Mapa final'!$O$35),"")</f>
        <v/>
      </c>
      <c r="P21" s="65" t="str">
        <f>IF(AND('Mapa final'!$Y$30="Alta",'Mapa final'!$AA$30="Menor"),CONCATENATE("R6C",'Mapa final'!$O$30),"")</f>
        <v/>
      </c>
      <c r="Q21" s="66" t="str">
        <f>IF(AND('Mapa final'!$Y$31="Alta",'Mapa final'!$AA$31="Menor"),CONCATENATE("R6C",'Mapa final'!$O$31),"")</f>
        <v/>
      </c>
      <c r="R21" s="66" t="str">
        <f>IF(AND('Mapa final'!$Y$32="Alta",'Mapa final'!$AA$32="Menor"),CONCATENATE("R6C",'Mapa final'!$O$32),"")</f>
        <v/>
      </c>
      <c r="S21" s="66" t="str">
        <f>IF(AND('Mapa final'!$Y$33="Alta",'Mapa final'!$AA$33="Menor"),CONCATENATE("R6C",'Mapa final'!$O$33),"")</f>
        <v/>
      </c>
      <c r="T21" s="66" t="str">
        <f>IF(AND('Mapa final'!$Y$34="Alta",'Mapa final'!$AA$34="Menor"),CONCATENATE("R6C",'Mapa final'!$O$34),"")</f>
        <v/>
      </c>
      <c r="U21" s="67" t="str">
        <f>IF(AND('Mapa final'!$Y$35="Alta",'Mapa final'!$AA$35="Menor"),CONCATENATE("R6C",'Mapa final'!$O$35),"")</f>
        <v/>
      </c>
      <c r="V21" s="50" t="str">
        <f>IF(AND('Mapa final'!$Y$30="Alta",'Mapa final'!$AA$30="Moderado"),CONCATENATE("R6C",'Mapa final'!$O$30),"")</f>
        <v/>
      </c>
      <c r="W21" s="51" t="str">
        <f>IF(AND('Mapa final'!$Y$31="Alta",'Mapa final'!$AA$31="Moderado"),CONCATENATE("R6C",'Mapa final'!$O$31),"")</f>
        <v/>
      </c>
      <c r="X21" s="51" t="str">
        <f>IF(AND('Mapa final'!$Y$32="Alta",'Mapa final'!$AA$32="Moderado"),CONCATENATE("R6C",'Mapa final'!$O$32),"")</f>
        <v/>
      </c>
      <c r="Y21" s="51" t="str">
        <f>IF(AND('Mapa final'!$Y$33="Alta",'Mapa final'!$AA$33="Moderado"),CONCATENATE("R6C",'Mapa final'!$O$33),"")</f>
        <v/>
      </c>
      <c r="Z21" s="51" t="str">
        <f>IF(AND('Mapa final'!$Y$34="Alta",'Mapa final'!$AA$34="Moderado"),CONCATENATE("R6C",'Mapa final'!$O$34),"")</f>
        <v/>
      </c>
      <c r="AA21" s="52" t="str">
        <f>IF(AND('Mapa final'!$Y$35="Alta",'Mapa final'!$AA$35="Moderado"),CONCATENATE("R6C",'Mapa final'!$O$35),"")</f>
        <v/>
      </c>
      <c r="AB21" s="50" t="str">
        <f>IF(AND('Mapa final'!$Y$30="Alta",'Mapa final'!$AA$30="Mayor"),CONCATENATE("R6C",'Mapa final'!$O$30),"")</f>
        <v/>
      </c>
      <c r="AC21" s="51" t="str">
        <f>IF(AND('Mapa final'!$Y$31="Alta",'Mapa final'!$AA$31="Mayor"),CONCATENATE("R6C",'Mapa final'!$O$31),"")</f>
        <v/>
      </c>
      <c r="AD21" s="51" t="str">
        <f>IF(AND('Mapa final'!$Y$32="Alta",'Mapa final'!$AA$32="Mayor"),CONCATENATE("R6C",'Mapa final'!$O$32),"")</f>
        <v/>
      </c>
      <c r="AE21" s="51" t="str">
        <f>IF(AND('Mapa final'!$Y$33="Alta",'Mapa final'!$AA$33="Mayor"),CONCATENATE("R6C",'Mapa final'!$O$33),"")</f>
        <v/>
      </c>
      <c r="AF21" s="51" t="str">
        <f>IF(AND('Mapa final'!$Y$34="Alta",'Mapa final'!$AA$34="Mayor"),CONCATENATE("R6C",'Mapa final'!$O$34),"")</f>
        <v/>
      </c>
      <c r="AG21" s="52" t="str">
        <f>IF(AND('Mapa final'!$Y$35="Alta",'Mapa final'!$AA$35="Mayor"),CONCATENATE("R6C",'Mapa final'!$O$35),"")</f>
        <v/>
      </c>
      <c r="AH21" s="53" t="str">
        <f>IF(AND('Mapa final'!$Y$30="Alta",'Mapa final'!$AA$30="Catastrófico"),CONCATENATE("R6C",'Mapa final'!$O$30),"")</f>
        <v/>
      </c>
      <c r="AI21" s="54" t="str">
        <f>IF(AND('Mapa final'!$Y$31="Alta",'Mapa final'!$AA$31="Catastrófico"),CONCATENATE("R6C",'Mapa final'!$O$31),"")</f>
        <v/>
      </c>
      <c r="AJ21" s="54" t="str">
        <f>IF(AND('Mapa final'!$Y$32="Alta",'Mapa final'!$AA$32="Catastrófico"),CONCATENATE("R6C",'Mapa final'!$O$32),"")</f>
        <v/>
      </c>
      <c r="AK21" s="54" t="str">
        <f>IF(AND('Mapa final'!$Y$33="Alta",'Mapa final'!$AA$33="Catastrófico"),CONCATENATE("R6C",'Mapa final'!$O$33),"")</f>
        <v/>
      </c>
      <c r="AL21" s="54" t="str">
        <f>IF(AND('Mapa final'!$Y$34="Alta",'Mapa final'!$AA$34="Catastrófico"),CONCATENATE("R6C",'Mapa final'!$O$34),"")</f>
        <v/>
      </c>
      <c r="AM21" s="55" t="str">
        <f>IF(AND('Mapa final'!$Y$35="Alta",'Mapa final'!$AA$35="Catastrófico"),CONCATENATE("R6C",'Mapa final'!$O$35),"")</f>
        <v/>
      </c>
      <c r="AN21" s="81"/>
      <c r="AO21" s="340"/>
      <c r="AP21" s="341"/>
      <c r="AQ21" s="341"/>
      <c r="AR21" s="341"/>
      <c r="AS21" s="341"/>
      <c r="AT21" s="34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289"/>
      <c r="C22" s="289"/>
      <c r="D22" s="290"/>
      <c r="E22" s="330"/>
      <c r="F22" s="331"/>
      <c r="G22" s="331"/>
      <c r="H22" s="331"/>
      <c r="I22" s="331"/>
      <c r="J22" s="65" t="str">
        <f>IF(AND('Mapa final'!$Y$36="Alta",'Mapa final'!$AA$36="Leve"),CONCATENATE("R7C",'Mapa final'!$O$36),"")</f>
        <v/>
      </c>
      <c r="K22" s="66" t="str">
        <f>IF(AND('Mapa final'!$Y$37="Alta",'Mapa final'!$AA$37="Leve"),CONCATENATE("R7C",'Mapa final'!$O$37),"")</f>
        <v/>
      </c>
      <c r="L22" s="66" t="str">
        <f>IF(AND('Mapa final'!$Y$38="Alta",'Mapa final'!$AA$38="Leve"),CONCATENATE("R7C",'Mapa final'!$O$38),"")</f>
        <v/>
      </c>
      <c r="M22" s="66" t="str">
        <f>IF(AND('Mapa final'!$Y$39="Alta",'Mapa final'!$AA$39="Leve"),CONCATENATE("R7C",'Mapa final'!$O$39),"")</f>
        <v/>
      </c>
      <c r="N22" s="66" t="str">
        <f>IF(AND('Mapa final'!$Y$40="Alta",'Mapa final'!$AA$40="Leve"),CONCATENATE("R7C",'Mapa final'!$O$40),"")</f>
        <v/>
      </c>
      <c r="O22" s="67" t="str">
        <f>IF(AND('Mapa final'!$Y$41="Alta",'Mapa final'!$AA$41="Leve"),CONCATENATE("R7C",'Mapa final'!$O$41),"")</f>
        <v/>
      </c>
      <c r="P22" s="65" t="str">
        <f>IF(AND('Mapa final'!$Y$36="Alta",'Mapa final'!$AA$36="Menor"),CONCATENATE("R7C",'Mapa final'!$O$36),"")</f>
        <v/>
      </c>
      <c r="Q22" s="66" t="str">
        <f>IF(AND('Mapa final'!$Y$37="Alta",'Mapa final'!$AA$37="Menor"),CONCATENATE("R7C",'Mapa final'!$O$37),"")</f>
        <v/>
      </c>
      <c r="R22" s="66" t="str">
        <f>IF(AND('Mapa final'!$Y$38="Alta",'Mapa final'!$AA$38="Menor"),CONCATENATE("R7C",'Mapa final'!$O$38),"")</f>
        <v/>
      </c>
      <c r="S22" s="66" t="str">
        <f>IF(AND('Mapa final'!$Y$39="Alta",'Mapa final'!$AA$39="Menor"),CONCATENATE("R7C",'Mapa final'!$O$39),"")</f>
        <v/>
      </c>
      <c r="T22" s="66" t="str">
        <f>IF(AND('Mapa final'!$Y$40="Alta",'Mapa final'!$AA$40="Menor"),CONCATENATE("R7C",'Mapa final'!$O$40),"")</f>
        <v/>
      </c>
      <c r="U22" s="67" t="str">
        <f>IF(AND('Mapa final'!$Y$41="Alta",'Mapa final'!$AA$41="Menor"),CONCATENATE("R7C",'Mapa final'!$O$41),"")</f>
        <v/>
      </c>
      <c r="V22" s="50" t="str">
        <f>IF(AND('Mapa final'!$Y$36="Alta",'Mapa final'!$AA$36="Moderado"),CONCATENATE("R7C",'Mapa final'!$O$36),"")</f>
        <v/>
      </c>
      <c r="W22" s="51" t="str">
        <f>IF(AND('Mapa final'!$Y$37="Alta",'Mapa final'!$AA$37="Moderado"),CONCATENATE("R7C",'Mapa final'!$O$37),"")</f>
        <v/>
      </c>
      <c r="X22" s="51" t="str">
        <f>IF(AND('Mapa final'!$Y$38="Alta",'Mapa final'!$AA$38="Moderado"),CONCATENATE("R7C",'Mapa final'!$O$38),"")</f>
        <v/>
      </c>
      <c r="Y22" s="51" t="str">
        <f>IF(AND('Mapa final'!$Y$39="Alta",'Mapa final'!$AA$39="Moderado"),CONCATENATE("R7C",'Mapa final'!$O$39),"")</f>
        <v/>
      </c>
      <c r="Z22" s="51" t="str">
        <f>IF(AND('Mapa final'!$Y$40="Alta",'Mapa final'!$AA$40="Moderado"),CONCATENATE("R7C",'Mapa final'!$O$40),"")</f>
        <v/>
      </c>
      <c r="AA22" s="52" t="str">
        <f>IF(AND('Mapa final'!$Y$41="Alta",'Mapa final'!$AA$41="Moderado"),CONCATENATE("R7C",'Mapa final'!$O$41),"")</f>
        <v/>
      </c>
      <c r="AB22" s="50" t="str">
        <f>IF(AND('Mapa final'!$Y$36="Alta",'Mapa final'!$AA$36="Mayor"),CONCATENATE("R7C",'Mapa final'!$O$36),"")</f>
        <v/>
      </c>
      <c r="AC22" s="51" t="str">
        <f>IF(AND('Mapa final'!$Y$37="Alta",'Mapa final'!$AA$37="Mayor"),CONCATENATE("R7C",'Mapa final'!$O$37),"")</f>
        <v/>
      </c>
      <c r="AD22" s="51" t="str">
        <f>IF(AND('Mapa final'!$Y$38="Alta",'Mapa final'!$AA$38="Mayor"),CONCATENATE("R7C",'Mapa final'!$O$38),"")</f>
        <v/>
      </c>
      <c r="AE22" s="51" t="str">
        <f>IF(AND('Mapa final'!$Y$39="Alta",'Mapa final'!$AA$39="Mayor"),CONCATENATE("R7C",'Mapa final'!$O$39),"")</f>
        <v/>
      </c>
      <c r="AF22" s="51" t="str">
        <f>IF(AND('Mapa final'!$Y$40="Alta",'Mapa final'!$AA$40="Mayor"),CONCATENATE("R7C",'Mapa final'!$O$40),"")</f>
        <v/>
      </c>
      <c r="AG22" s="52" t="str">
        <f>IF(AND('Mapa final'!$Y$41="Alta",'Mapa final'!$AA$41="Mayor"),CONCATENATE("R7C",'Mapa final'!$O$41),"")</f>
        <v/>
      </c>
      <c r="AH22" s="53" t="str">
        <f>IF(AND('Mapa final'!$Y$36="Alta",'Mapa final'!$AA$36="Catastrófico"),CONCATENATE("R7C",'Mapa final'!$O$36),"")</f>
        <v/>
      </c>
      <c r="AI22" s="54" t="str">
        <f>IF(AND('Mapa final'!$Y$37="Alta",'Mapa final'!$AA$37="Catastrófico"),CONCATENATE("R7C",'Mapa final'!$O$37),"")</f>
        <v/>
      </c>
      <c r="AJ22" s="54" t="str">
        <f>IF(AND('Mapa final'!$Y$38="Alta",'Mapa final'!$AA$38="Catastrófico"),CONCATENATE("R7C",'Mapa final'!$O$38),"")</f>
        <v/>
      </c>
      <c r="AK22" s="54" t="str">
        <f>IF(AND('Mapa final'!$Y$39="Alta",'Mapa final'!$AA$39="Catastrófico"),CONCATENATE("R7C",'Mapa final'!$O$39),"")</f>
        <v/>
      </c>
      <c r="AL22" s="54" t="str">
        <f>IF(AND('Mapa final'!$Y$40="Alta",'Mapa final'!$AA$40="Catastrófico"),CONCATENATE("R7C",'Mapa final'!$O$40),"")</f>
        <v/>
      </c>
      <c r="AM22" s="55" t="str">
        <f>IF(AND('Mapa final'!$Y$41="Alta",'Mapa final'!$AA$41="Catastrófico"),CONCATENATE("R7C",'Mapa final'!$O$41),"")</f>
        <v/>
      </c>
      <c r="AN22" s="81"/>
      <c r="AO22" s="340"/>
      <c r="AP22" s="341"/>
      <c r="AQ22" s="341"/>
      <c r="AR22" s="341"/>
      <c r="AS22" s="341"/>
      <c r="AT22" s="342"/>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289"/>
      <c r="C23" s="289"/>
      <c r="D23" s="290"/>
      <c r="E23" s="330"/>
      <c r="F23" s="331"/>
      <c r="G23" s="331"/>
      <c r="H23" s="331"/>
      <c r="I23" s="331"/>
      <c r="J23" s="65" t="str">
        <f>IF(AND('Mapa final'!$Y$42="Alta",'Mapa final'!$AA$42="Leve"),CONCATENATE("R8C",'Mapa final'!$O$42),"")</f>
        <v/>
      </c>
      <c r="K23" s="66" t="str">
        <f>IF(AND('Mapa final'!$Y$43="Alta",'Mapa final'!$AA$43="Leve"),CONCATENATE("R8C",'Mapa final'!$O$43),"")</f>
        <v/>
      </c>
      <c r="L23" s="66" t="str">
        <f>IF(AND('Mapa final'!$Y$44="Alta",'Mapa final'!$AA$44="Leve"),CONCATENATE("R8C",'Mapa final'!$O$44),"")</f>
        <v/>
      </c>
      <c r="M23" s="66" t="str">
        <f>IF(AND('Mapa final'!$Y$45="Alta",'Mapa final'!$AA$45="Leve"),CONCATENATE("R8C",'Mapa final'!$O$45),"")</f>
        <v/>
      </c>
      <c r="N23" s="66" t="str">
        <f>IF(AND('Mapa final'!$Y$46="Alta",'Mapa final'!$AA$46="Leve"),CONCATENATE("R8C",'Mapa final'!$O$46),"")</f>
        <v/>
      </c>
      <c r="O23" s="67" t="str">
        <f>IF(AND('Mapa final'!$Y$47="Alta",'Mapa final'!$AA$47="Leve"),CONCATENATE("R8C",'Mapa final'!$O$47),"")</f>
        <v/>
      </c>
      <c r="P23" s="65" t="str">
        <f>IF(AND('Mapa final'!$Y$42="Alta",'Mapa final'!$AA$42="Menor"),CONCATENATE("R8C",'Mapa final'!$O$42),"")</f>
        <v/>
      </c>
      <c r="Q23" s="66" t="str">
        <f>IF(AND('Mapa final'!$Y$43="Alta",'Mapa final'!$AA$43="Menor"),CONCATENATE("R8C",'Mapa final'!$O$43),"")</f>
        <v/>
      </c>
      <c r="R23" s="66" t="str">
        <f>IF(AND('Mapa final'!$Y$44="Alta",'Mapa final'!$AA$44="Menor"),CONCATENATE("R8C",'Mapa final'!$O$44),"")</f>
        <v/>
      </c>
      <c r="S23" s="66" t="str">
        <f>IF(AND('Mapa final'!$Y$45="Alta",'Mapa final'!$AA$45="Menor"),CONCATENATE("R8C",'Mapa final'!$O$45),"")</f>
        <v/>
      </c>
      <c r="T23" s="66" t="str">
        <f>IF(AND('Mapa final'!$Y$46="Alta",'Mapa final'!$AA$46="Menor"),CONCATENATE("R8C",'Mapa final'!$O$46),"")</f>
        <v/>
      </c>
      <c r="U23" s="67" t="str">
        <f>IF(AND('Mapa final'!$Y$47="Alta",'Mapa final'!$AA$47="Menor"),CONCATENATE("R8C",'Mapa final'!$O$47),"")</f>
        <v/>
      </c>
      <c r="V23" s="50" t="str">
        <f>IF(AND('Mapa final'!$Y$42="Alta",'Mapa final'!$AA$42="Moderado"),CONCATENATE("R8C",'Mapa final'!$O$42),"")</f>
        <v/>
      </c>
      <c r="W23" s="51" t="str">
        <f>IF(AND('Mapa final'!$Y$43="Alta",'Mapa final'!$AA$43="Moderado"),CONCATENATE("R8C",'Mapa final'!$O$43),"")</f>
        <v/>
      </c>
      <c r="X23" s="51" t="str">
        <f>IF(AND('Mapa final'!$Y$44="Alta",'Mapa final'!$AA$44="Moderado"),CONCATENATE("R8C",'Mapa final'!$O$44),"")</f>
        <v/>
      </c>
      <c r="Y23" s="51" t="str">
        <f>IF(AND('Mapa final'!$Y$45="Alta",'Mapa final'!$AA$45="Moderado"),CONCATENATE("R8C",'Mapa final'!$O$45),"")</f>
        <v/>
      </c>
      <c r="Z23" s="51" t="str">
        <f>IF(AND('Mapa final'!$Y$46="Alta",'Mapa final'!$AA$46="Moderado"),CONCATENATE("R8C",'Mapa final'!$O$46),"")</f>
        <v/>
      </c>
      <c r="AA23" s="52" t="str">
        <f>IF(AND('Mapa final'!$Y$47="Alta",'Mapa final'!$AA$47="Moderado"),CONCATENATE("R8C",'Mapa final'!$O$47),"")</f>
        <v/>
      </c>
      <c r="AB23" s="50" t="str">
        <f>IF(AND('Mapa final'!$Y$42="Alta",'Mapa final'!$AA$42="Mayor"),CONCATENATE("R8C",'Mapa final'!$O$42),"")</f>
        <v/>
      </c>
      <c r="AC23" s="51" t="str">
        <f>IF(AND('Mapa final'!$Y$43="Alta",'Mapa final'!$AA$43="Mayor"),CONCATENATE("R8C",'Mapa final'!$O$43),"")</f>
        <v/>
      </c>
      <c r="AD23" s="51" t="str">
        <f>IF(AND('Mapa final'!$Y$44="Alta",'Mapa final'!$AA$44="Mayor"),CONCATENATE("R8C",'Mapa final'!$O$44),"")</f>
        <v/>
      </c>
      <c r="AE23" s="51" t="str">
        <f>IF(AND('Mapa final'!$Y$45="Alta",'Mapa final'!$AA$45="Mayor"),CONCATENATE("R8C",'Mapa final'!$O$45),"")</f>
        <v/>
      </c>
      <c r="AF23" s="51" t="str">
        <f>IF(AND('Mapa final'!$Y$46="Alta",'Mapa final'!$AA$46="Mayor"),CONCATENATE("R8C",'Mapa final'!$O$46),"")</f>
        <v/>
      </c>
      <c r="AG23" s="52" t="str">
        <f>IF(AND('Mapa final'!$Y$47="Alta",'Mapa final'!$AA$47="Mayor"),CONCATENATE("R8C",'Mapa final'!$O$47),"")</f>
        <v/>
      </c>
      <c r="AH23" s="53" t="str">
        <f>IF(AND('Mapa final'!$Y$42="Alta",'Mapa final'!$AA$42="Catastrófico"),CONCATENATE("R8C",'Mapa final'!$O$42),"")</f>
        <v/>
      </c>
      <c r="AI23" s="54" t="str">
        <f>IF(AND('Mapa final'!$Y$43="Alta",'Mapa final'!$AA$43="Catastrófico"),CONCATENATE("R8C",'Mapa final'!$O$43),"")</f>
        <v/>
      </c>
      <c r="AJ23" s="54" t="str">
        <f>IF(AND('Mapa final'!$Y$44="Alta",'Mapa final'!$AA$44="Catastrófico"),CONCATENATE("R8C",'Mapa final'!$O$44),"")</f>
        <v/>
      </c>
      <c r="AK23" s="54" t="str">
        <f>IF(AND('Mapa final'!$Y$45="Alta",'Mapa final'!$AA$45="Catastrófico"),CONCATENATE("R8C",'Mapa final'!$O$45),"")</f>
        <v/>
      </c>
      <c r="AL23" s="54" t="str">
        <f>IF(AND('Mapa final'!$Y$46="Alta",'Mapa final'!$AA$46="Catastrófico"),CONCATENATE("R8C",'Mapa final'!$O$46),"")</f>
        <v/>
      </c>
      <c r="AM23" s="55" t="str">
        <f>IF(AND('Mapa final'!$Y$47="Alta",'Mapa final'!$AA$47="Catastrófico"),CONCATENATE("R8C",'Mapa final'!$O$47),"")</f>
        <v/>
      </c>
      <c r="AN23" s="81"/>
      <c r="AO23" s="340"/>
      <c r="AP23" s="341"/>
      <c r="AQ23" s="341"/>
      <c r="AR23" s="341"/>
      <c r="AS23" s="341"/>
      <c r="AT23" s="34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289"/>
      <c r="C24" s="289"/>
      <c r="D24" s="290"/>
      <c r="E24" s="330"/>
      <c r="F24" s="331"/>
      <c r="G24" s="331"/>
      <c r="H24" s="331"/>
      <c r="I24" s="331"/>
      <c r="J24" s="65" t="str">
        <f>IF(AND('Mapa final'!$Y$48="Alta",'Mapa final'!$AA$48="Leve"),CONCATENATE("R9C",'Mapa final'!$O$48),"")</f>
        <v/>
      </c>
      <c r="K24" s="66" t="str">
        <f>IF(AND('Mapa final'!$Y$49="Alta",'Mapa final'!$AA$49="Leve"),CONCATENATE("R9C",'Mapa final'!$O$49),"")</f>
        <v/>
      </c>
      <c r="L24" s="66" t="str">
        <f>IF(AND('Mapa final'!$Y$50="Alta",'Mapa final'!$AA$50="Leve"),CONCATENATE("R9C",'Mapa final'!$O$50),"")</f>
        <v/>
      </c>
      <c r="M24" s="66" t="str">
        <f>IF(AND('Mapa final'!$Y$51="Alta",'Mapa final'!$AA$51="Leve"),CONCATENATE("R9C",'Mapa final'!$O$51),"")</f>
        <v/>
      </c>
      <c r="N24" s="66" t="str">
        <f>IF(AND('Mapa final'!$Y$52="Alta",'Mapa final'!$AA$52="Leve"),CONCATENATE("R9C",'Mapa final'!$O$52),"")</f>
        <v/>
      </c>
      <c r="O24" s="67" t="str">
        <f>IF(AND('Mapa final'!$Y$53="Alta",'Mapa final'!$AA$53="Leve"),CONCATENATE("R9C",'Mapa final'!$O$53),"")</f>
        <v/>
      </c>
      <c r="P24" s="65" t="str">
        <f>IF(AND('Mapa final'!$Y$48="Alta",'Mapa final'!$AA$48="Menor"),CONCATENATE("R9C",'Mapa final'!$O$48),"")</f>
        <v/>
      </c>
      <c r="Q24" s="66" t="str">
        <f>IF(AND('Mapa final'!$Y$49="Alta",'Mapa final'!$AA$49="Menor"),CONCATENATE("R9C",'Mapa final'!$O$49),"")</f>
        <v/>
      </c>
      <c r="R24" s="66" t="str">
        <f>IF(AND('Mapa final'!$Y$50="Alta",'Mapa final'!$AA$50="Menor"),CONCATENATE("R9C",'Mapa final'!$O$50),"")</f>
        <v/>
      </c>
      <c r="S24" s="66" t="str">
        <f>IF(AND('Mapa final'!$Y$51="Alta",'Mapa final'!$AA$51="Menor"),CONCATENATE("R9C",'Mapa final'!$O$51),"")</f>
        <v/>
      </c>
      <c r="T24" s="66" t="str">
        <f>IF(AND('Mapa final'!$Y$52="Alta",'Mapa final'!$AA$52="Menor"),CONCATENATE("R9C",'Mapa final'!$O$52),"")</f>
        <v/>
      </c>
      <c r="U24" s="67" t="str">
        <f>IF(AND('Mapa final'!$Y$53="Alta",'Mapa final'!$AA$53="Menor"),CONCATENATE("R9C",'Mapa final'!$O$53),"")</f>
        <v/>
      </c>
      <c r="V24" s="50" t="str">
        <f>IF(AND('Mapa final'!$Y$48="Alta",'Mapa final'!$AA$48="Moderado"),CONCATENATE("R9C",'Mapa final'!$O$48),"")</f>
        <v/>
      </c>
      <c r="W24" s="51" t="str">
        <f>IF(AND('Mapa final'!$Y$49="Alta",'Mapa final'!$AA$49="Moderado"),CONCATENATE("R9C",'Mapa final'!$O$49),"")</f>
        <v/>
      </c>
      <c r="X24" s="51" t="str">
        <f>IF(AND('Mapa final'!$Y$50="Alta",'Mapa final'!$AA$50="Moderado"),CONCATENATE("R9C",'Mapa final'!$O$50),"")</f>
        <v/>
      </c>
      <c r="Y24" s="51" t="str">
        <f>IF(AND('Mapa final'!$Y$51="Alta",'Mapa final'!$AA$51="Moderado"),CONCATENATE("R9C",'Mapa final'!$O$51),"")</f>
        <v/>
      </c>
      <c r="Z24" s="51" t="str">
        <f>IF(AND('Mapa final'!$Y$52="Alta",'Mapa final'!$AA$52="Moderado"),CONCATENATE("R9C",'Mapa final'!$O$52),"")</f>
        <v/>
      </c>
      <c r="AA24" s="52" t="str">
        <f>IF(AND('Mapa final'!$Y$53="Alta",'Mapa final'!$AA$53="Moderado"),CONCATENATE("R9C",'Mapa final'!$O$53),"")</f>
        <v/>
      </c>
      <c r="AB24" s="50" t="str">
        <f>IF(AND('Mapa final'!$Y$48="Alta",'Mapa final'!$AA$48="Mayor"),CONCATENATE("R9C",'Mapa final'!$O$48),"")</f>
        <v/>
      </c>
      <c r="AC24" s="51" t="str">
        <f>IF(AND('Mapa final'!$Y$49="Alta",'Mapa final'!$AA$49="Mayor"),CONCATENATE("R9C",'Mapa final'!$O$49),"")</f>
        <v/>
      </c>
      <c r="AD24" s="51" t="str">
        <f>IF(AND('Mapa final'!$Y$50="Alta",'Mapa final'!$AA$50="Mayor"),CONCATENATE("R9C",'Mapa final'!$O$50),"")</f>
        <v/>
      </c>
      <c r="AE24" s="51" t="str">
        <f>IF(AND('Mapa final'!$Y$51="Alta",'Mapa final'!$AA$51="Mayor"),CONCATENATE("R9C",'Mapa final'!$O$51),"")</f>
        <v/>
      </c>
      <c r="AF24" s="51" t="str">
        <f>IF(AND('Mapa final'!$Y$52="Alta",'Mapa final'!$AA$52="Mayor"),CONCATENATE("R9C",'Mapa final'!$O$52),"")</f>
        <v/>
      </c>
      <c r="AG24" s="52" t="str">
        <f>IF(AND('Mapa final'!$Y$53="Alta",'Mapa final'!$AA$53="Mayor"),CONCATENATE("R9C",'Mapa final'!$O$53),"")</f>
        <v/>
      </c>
      <c r="AH24" s="53" t="str">
        <f>IF(AND('Mapa final'!$Y$48="Alta",'Mapa final'!$AA$48="Catastrófico"),CONCATENATE("R9C",'Mapa final'!$O$48),"")</f>
        <v/>
      </c>
      <c r="AI24" s="54" t="str">
        <f>IF(AND('Mapa final'!$Y$49="Alta",'Mapa final'!$AA$49="Catastrófico"),CONCATENATE("R9C",'Mapa final'!$O$49),"")</f>
        <v/>
      </c>
      <c r="AJ24" s="54" t="str">
        <f>IF(AND('Mapa final'!$Y$50="Alta",'Mapa final'!$AA$50="Catastrófico"),CONCATENATE("R9C",'Mapa final'!$O$50),"")</f>
        <v/>
      </c>
      <c r="AK24" s="54" t="str">
        <f>IF(AND('Mapa final'!$Y$51="Alta",'Mapa final'!$AA$51="Catastrófico"),CONCATENATE("R9C",'Mapa final'!$O$51),"")</f>
        <v/>
      </c>
      <c r="AL24" s="54" t="str">
        <f>IF(AND('Mapa final'!$Y$52="Alta",'Mapa final'!$AA$52="Catastrófico"),CONCATENATE("R9C",'Mapa final'!$O$52),"")</f>
        <v/>
      </c>
      <c r="AM24" s="55" t="str">
        <f>IF(AND('Mapa final'!$Y$53="Alta",'Mapa final'!$AA$53="Catastrófico"),CONCATENATE("R9C",'Mapa final'!$O$53),"")</f>
        <v/>
      </c>
      <c r="AN24" s="81"/>
      <c r="AO24" s="340"/>
      <c r="AP24" s="341"/>
      <c r="AQ24" s="341"/>
      <c r="AR24" s="341"/>
      <c r="AS24" s="341"/>
      <c r="AT24" s="34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289"/>
      <c r="C25" s="289"/>
      <c r="D25" s="290"/>
      <c r="E25" s="333"/>
      <c r="F25" s="334"/>
      <c r="G25" s="334"/>
      <c r="H25" s="334"/>
      <c r="I25" s="334"/>
      <c r="J25" s="68" t="str">
        <f>IF(AND('Mapa final'!$Y$54="Alta",'Mapa final'!$AA$54="Leve"),CONCATENATE("R10C",'Mapa final'!$O$54),"")</f>
        <v/>
      </c>
      <c r="K25" s="69" t="str">
        <f>IF(AND('Mapa final'!$Y$55="Alta",'Mapa final'!$AA$55="Leve"),CONCATENATE("R10C",'Mapa final'!$O$55),"")</f>
        <v/>
      </c>
      <c r="L25" s="69" t="str">
        <f>IF(AND('Mapa final'!$Y$56="Alta",'Mapa final'!$AA$56="Leve"),CONCATENATE("R10C",'Mapa final'!$O$56),"")</f>
        <v/>
      </c>
      <c r="M25" s="69" t="str">
        <f>IF(AND('Mapa final'!$Y$57="Alta",'Mapa final'!$AA$57="Leve"),CONCATENATE("R10C",'Mapa final'!$O$57),"")</f>
        <v/>
      </c>
      <c r="N25" s="69" t="str">
        <f>IF(AND('Mapa final'!$Y$58="Alta",'Mapa final'!$AA$58="Leve"),CONCATENATE("R10C",'Mapa final'!$O$58),"")</f>
        <v/>
      </c>
      <c r="O25" s="70" t="str">
        <f>IF(AND('Mapa final'!$Y$59="Alta",'Mapa final'!$AA$59="Leve"),CONCATENATE("R10C",'Mapa final'!$O$59),"")</f>
        <v/>
      </c>
      <c r="P25" s="68" t="str">
        <f>IF(AND('Mapa final'!$Y$54="Alta",'Mapa final'!$AA$54="Menor"),CONCATENATE("R10C",'Mapa final'!$O$54),"")</f>
        <v/>
      </c>
      <c r="Q25" s="69" t="str">
        <f>IF(AND('Mapa final'!$Y$55="Alta",'Mapa final'!$AA$55="Menor"),CONCATENATE("R10C",'Mapa final'!$O$55),"")</f>
        <v/>
      </c>
      <c r="R25" s="69" t="str">
        <f>IF(AND('Mapa final'!$Y$56="Alta",'Mapa final'!$AA$56="Menor"),CONCATENATE("R10C",'Mapa final'!$O$56),"")</f>
        <v/>
      </c>
      <c r="S25" s="69" t="str">
        <f>IF(AND('Mapa final'!$Y$57="Alta",'Mapa final'!$AA$57="Menor"),CONCATENATE("R10C",'Mapa final'!$O$57),"")</f>
        <v/>
      </c>
      <c r="T25" s="69" t="str">
        <f>IF(AND('Mapa final'!$Y$58="Alta",'Mapa final'!$AA$58="Menor"),CONCATENATE("R10C",'Mapa final'!$O$58),"")</f>
        <v/>
      </c>
      <c r="U25" s="70" t="str">
        <f>IF(AND('Mapa final'!$Y$59="Alta",'Mapa final'!$AA$59="Menor"),CONCATENATE("R10C",'Mapa final'!$O$59),"")</f>
        <v/>
      </c>
      <c r="V25" s="56" t="str">
        <f>IF(AND('Mapa final'!$Y$54="Alta",'Mapa final'!$AA$54="Moderado"),CONCATENATE("R10C",'Mapa final'!$O$54),"")</f>
        <v/>
      </c>
      <c r="W25" s="57" t="str">
        <f>IF(AND('Mapa final'!$Y$55="Alta",'Mapa final'!$AA$55="Moderado"),CONCATENATE("R10C",'Mapa final'!$O$55),"")</f>
        <v/>
      </c>
      <c r="X25" s="57" t="str">
        <f>IF(AND('Mapa final'!$Y$56="Alta",'Mapa final'!$AA$56="Moderado"),CONCATENATE("R10C",'Mapa final'!$O$56),"")</f>
        <v/>
      </c>
      <c r="Y25" s="57" t="str">
        <f>IF(AND('Mapa final'!$Y$57="Alta",'Mapa final'!$AA$57="Moderado"),CONCATENATE("R10C",'Mapa final'!$O$57),"")</f>
        <v/>
      </c>
      <c r="Z25" s="57" t="str">
        <f>IF(AND('Mapa final'!$Y$58="Alta",'Mapa final'!$AA$58="Moderado"),CONCATENATE("R10C",'Mapa final'!$O$58),"")</f>
        <v/>
      </c>
      <c r="AA25" s="58" t="str">
        <f>IF(AND('Mapa final'!$Y$59="Alta",'Mapa final'!$AA$59="Moderado"),CONCATENATE("R10C",'Mapa final'!$O$59),"")</f>
        <v/>
      </c>
      <c r="AB25" s="56" t="str">
        <f>IF(AND('Mapa final'!$Y$54="Alta",'Mapa final'!$AA$54="Mayor"),CONCATENATE("R10C",'Mapa final'!$O$54),"")</f>
        <v/>
      </c>
      <c r="AC25" s="57" t="str">
        <f>IF(AND('Mapa final'!$Y$55="Alta",'Mapa final'!$AA$55="Mayor"),CONCATENATE("R10C",'Mapa final'!$O$55),"")</f>
        <v/>
      </c>
      <c r="AD25" s="57" t="str">
        <f>IF(AND('Mapa final'!$Y$56="Alta",'Mapa final'!$AA$56="Mayor"),CONCATENATE("R10C",'Mapa final'!$O$56),"")</f>
        <v/>
      </c>
      <c r="AE25" s="57" t="str">
        <f>IF(AND('Mapa final'!$Y$57="Alta",'Mapa final'!$AA$57="Mayor"),CONCATENATE("R10C",'Mapa final'!$O$57),"")</f>
        <v/>
      </c>
      <c r="AF25" s="57" t="str">
        <f>IF(AND('Mapa final'!$Y$58="Alta",'Mapa final'!$AA$58="Mayor"),CONCATENATE("R10C",'Mapa final'!$O$58),"")</f>
        <v/>
      </c>
      <c r="AG25" s="58" t="str">
        <f>IF(AND('Mapa final'!$Y$59="Alta",'Mapa final'!$AA$59="Mayor"),CONCATENATE("R10C",'Mapa final'!$O$59),"")</f>
        <v/>
      </c>
      <c r="AH25" s="59" t="str">
        <f>IF(AND('Mapa final'!$Y$54="Alta",'Mapa final'!$AA$54="Catastrófico"),CONCATENATE("R10C",'Mapa final'!$O$54),"")</f>
        <v/>
      </c>
      <c r="AI25" s="60" t="str">
        <f>IF(AND('Mapa final'!$Y$55="Alta",'Mapa final'!$AA$55="Catastrófico"),CONCATENATE("R10C",'Mapa final'!$O$55),"")</f>
        <v/>
      </c>
      <c r="AJ25" s="60" t="str">
        <f>IF(AND('Mapa final'!$Y$56="Alta",'Mapa final'!$AA$56="Catastrófico"),CONCATENATE("R10C",'Mapa final'!$O$56),"")</f>
        <v/>
      </c>
      <c r="AK25" s="60" t="str">
        <f>IF(AND('Mapa final'!$Y$57="Alta",'Mapa final'!$AA$57="Catastrófico"),CONCATENATE("R10C",'Mapa final'!$O$57),"")</f>
        <v/>
      </c>
      <c r="AL25" s="60" t="str">
        <f>IF(AND('Mapa final'!$Y$58="Alta",'Mapa final'!$AA$58="Catastrófico"),CONCATENATE("R10C",'Mapa final'!$O$58),"")</f>
        <v/>
      </c>
      <c r="AM25" s="61" t="str">
        <f>IF(AND('Mapa final'!$Y$59="Alta",'Mapa final'!$AA$59="Catastrófico"),CONCATENATE("R10C",'Mapa final'!$O$59),"")</f>
        <v/>
      </c>
      <c r="AN25" s="81"/>
      <c r="AO25" s="343"/>
      <c r="AP25" s="344"/>
      <c r="AQ25" s="344"/>
      <c r="AR25" s="344"/>
      <c r="AS25" s="344"/>
      <c r="AT25" s="345"/>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289"/>
      <c r="C26" s="289"/>
      <c r="D26" s="290"/>
      <c r="E26" s="327" t="s">
        <v>117</v>
      </c>
      <c r="F26" s="328"/>
      <c r="G26" s="328"/>
      <c r="H26" s="328"/>
      <c r="I26" s="329"/>
      <c r="J26" s="62" t="str">
        <f>IF(AND('Mapa final'!$Y$10="Media",'Mapa final'!$AA$10="Leve"),CONCATENATE("R1C",'Mapa final'!$O$10),"")</f>
        <v/>
      </c>
      <c r="K26" s="63" t="str">
        <f>IF(AND('Mapa final'!$Y$11="Media",'Mapa final'!$AA$11="Leve"),CONCATENATE("R1C",'Mapa final'!$O$11),"")</f>
        <v/>
      </c>
      <c r="L26" s="63" t="str">
        <f>IF(AND('Mapa final'!$Y$12="Media",'Mapa final'!$AA$12="Leve"),CONCATENATE("R1C",'Mapa final'!$O$12),"")</f>
        <v/>
      </c>
      <c r="M26" s="63" t="str">
        <f>IF(AND('Mapa final'!$Y$13="Media",'Mapa final'!$AA$13="Leve"),CONCATENATE("R1C",'Mapa final'!$O$13),"")</f>
        <v/>
      </c>
      <c r="N26" s="63" t="e">
        <f>IF(AND('Mapa final'!#REF!="Media",'Mapa final'!#REF!="Leve"),CONCATENATE("R1C",'Mapa final'!#REF!),"")</f>
        <v>#REF!</v>
      </c>
      <c r="O26" s="64" t="e">
        <f>IF(AND('Mapa final'!#REF!="Media",'Mapa final'!#REF!="Leve"),CONCATENATE("R1C",'Mapa final'!#REF!),"")</f>
        <v>#REF!</v>
      </c>
      <c r="P26" s="62" t="str">
        <f>IF(AND('Mapa final'!$Y$10="Media",'Mapa final'!$AA$10="Menor"),CONCATENATE("R1C",'Mapa final'!$O$10),"")</f>
        <v/>
      </c>
      <c r="Q26" s="63" t="str">
        <f>IF(AND('Mapa final'!$Y$11="Media",'Mapa final'!$AA$11="Menor"),CONCATENATE("R1C",'Mapa final'!$O$11),"")</f>
        <v/>
      </c>
      <c r="R26" s="63" t="str">
        <f>IF(AND('Mapa final'!$Y$12="Media",'Mapa final'!$AA$12="Menor"),CONCATENATE("R1C",'Mapa final'!$O$12),"")</f>
        <v/>
      </c>
      <c r="S26" s="63" t="str">
        <f>IF(AND('Mapa final'!$Y$13="Media",'Mapa final'!$AA$13="Menor"),CONCATENATE("R1C",'Mapa final'!$O$13),"")</f>
        <v/>
      </c>
      <c r="T26" s="63" t="e">
        <f>IF(AND('Mapa final'!#REF!="Media",'Mapa final'!#REF!="Menor"),CONCATENATE("R1C",'Mapa final'!#REF!),"")</f>
        <v>#REF!</v>
      </c>
      <c r="U26" s="64" t="e">
        <f>IF(AND('Mapa final'!#REF!="Media",'Mapa final'!#REF!="Menor"),CONCATENATE("R1C",'Mapa final'!#REF!),"")</f>
        <v>#REF!</v>
      </c>
      <c r="V26" s="62" t="str">
        <f>IF(AND('Mapa final'!$Y$10="Media",'Mapa final'!$AA$10="Moderado"),CONCATENATE("R1C",'Mapa final'!$O$10),"")</f>
        <v>R1C1</v>
      </c>
      <c r="W26" s="63" t="str">
        <f>IF(AND('Mapa final'!$Y$11="Media",'Mapa final'!$AA$11="Moderado"),CONCATENATE("R1C",'Mapa final'!$O$11),"")</f>
        <v/>
      </c>
      <c r="X26" s="63" t="str">
        <f>IF(AND('Mapa final'!$Y$12="Media",'Mapa final'!$AA$12="Moderado"),CONCATENATE("R1C",'Mapa final'!$O$12),"")</f>
        <v/>
      </c>
      <c r="Y26" s="63" t="str">
        <f>IF(AND('Mapa final'!$Y$13="Media",'Mapa final'!$AA$13="Moderado"),CONCATENATE("R1C",'Mapa final'!$O$13),"")</f>
        <v/>
      </c>
      <c r="Z26" s="63" t="e">
        <f>IF(AND('Mapa final'!#REF!="Media",'Mapa final'!#REF!="Moderado"),CONCATENATE("R1C",'Mapa final'!#REF!),"")</f>
        <v>#REF!</v>
      </c>
      <c r="AA26" s="64" t="e">
        <f>IF(AND('Mapa final'!#REF!="Media",'Mapa final'!#REF!="Moderado"),CONCATENATE("R1C",'Mapa final'!#REF!),"")</f>
        <v>#REF!</v>
      </c>
      <c r="AB26" s="44" t="str">
        <f>IF(AND('Mapa final'!$Y$10="Media",'Mapa final'!$AA$10="Mayor"),CONCATENATE("R1C",'Mapa final'!$O$10),"")</f>
        <v/>
      </c>
      <c r="AC26" s="45" t="str">
        <f>IF(AND('Mapa final'!$Y$11="Media",'Mapa final'!$AA$11="Mayor"),CONCATENATE("R1C",'Mapa final'!$O$11),"")</f>
        <v/>
      </c>
      <c r="AD26" s="45" t="str">
        <f>IF(AND('Mapa final'!$Y$12="Media",'Mapa final'!$AA$12="Mayor"),CONCATENATE("R1C",'Mapa final'!$O$12),"")</f>
        <v/>
      </c>
      <c r="AE26" s="45" t="str">
        <f>IF(AND('Mapa final'!$Y$13="Media",'Mapa final'!$AA$13="Mayor"),CONCATENATE("R1C",'Mapa final'!$O$13),"")</f>
        <v/>
      </c>
      <c r="AF26" s="45" t="e">
        <f>IF(AND('Mapa final'!#REF!="Media",'Mapa final'!#REF!="Mayor"),CONCATENATE("R1C",'Mapa final'!#REF!),"")</f>
        <v>#REF!</v>
      </c>
      <c r="AG26" s="46" t="e">
        <f>IF(AND('Mapa final'!#REF!="Media",'Mapa final'!#REF!="Mayor"),CONCATENATE("R1C",'Mapa final'!#REF!),"")</f>
        <v>#REF!</v>
      </c>
      <c r="AH26" s="47" t="str">
        <f>IF(AND('Mapa final'!$Y$10="Media",'Mapa final'!$AA$10="Catastrófico"),CONCATENATE("R1C",'Mapa final'!$O$10),"")</f>
        <v/>
      </c>
      <c r="AI26" s="48" t="str">
        <f>IF(AND('Mapa final'!$Y$11="Media",'Mapa final'!$AA$11="Catastrófico"),CONCATENATE("R1C",'Mapa final'!$O$11),"")</f>
        <v/>
      </c>
      <c r="AJ26" s="48" t="str">
        <f>IF(AND('Mapa final'!$Y$12="Media",'Mapa final'!$AA$12="Catastrófico"),CONCATENATE("R1C",'Mapa final'!$O$12),"")</f>
        <v/>
      </c>
      <c r="AK26" s="48" t="str">
        <f>IF(AND('Mapa final'!$Y$13="Media",'Mapa final'!$AA$13="Catastrófico"),CONCATENATE("R1C",'Mapa final'!$O$13),"")</f>
        <v/>
      </c>
      <c r="AL26" s="48" t="e">
        <f>IF(AND('Mapa final'!#REF!="Media",'Mapa final'!#REF!="Catastrófico"),CONCATENATE("R1C",'Mapa final'!#REF!),"")</f>
        <v>#REF!</v>
      </c>
      <c r="AM26" s="49" t="e">
        <f>IF(AND('Mapa final'!#REF!="Media",'Mapa final'!#REF!="Catastrófico"),CONCATENATE("R1C",'Mapa final'!#REF!),"")</f>
        <v>#REF!</v>
      </c>
      <c r="AN26" s="81"/>
      <c r="AO26" s="367" t="s">
        <v>81</v>
      </c>
      <c r="AP26" s="368"/>
      <c r="AQ26" s="368"/>
      <c r="AR26" s="368"/>
      <c r="AS26" s="368"/>
      <c r="AT26" s="369"/>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289"/>
      <c r="C27" s="289"/>
      <c r="D27" s="290"/>
      <c r="E27" s="346"/>
      <c r="F27" s="331"/>
      <c r="G27" s="331"/>
      <c r="H27" s="331"/>
      <c r="I27" s="332"/>
      <c r="J27" s="65" t="str">
        <f>IF(AND('Mapa final'!$Y$14="Media",'Mapa final'!$AA$14="Leve"),CONCATENATE("R2C",'Mapa final'!$O$14),"")</f>
        <v/>
      </c>
      <c r="K27" s="66" t="str">
        <f>IF(AND('Mapa final'!$Y$15="Media",'Mapa final'!$AA$15="Leve"),CONCATENATE("R2C",'Mapa final'!$O$15),"")</f>
        <v/>
      </c>
      <c r="L27" s="66" t="str">
        <f>IF(AND('Mapa final'!$Y$16="Media",'Mapa final'!$AA$16="Leve"),CONCATENATE("R2C",'Mapa final'!$O$16),"")</f>
        <v/>
      </c>
      <c r="M27" s="66" t="str">
        <f>IF(AND('Mapa final'!$Y$17="Media",'Mapa final'!$AA$17="Leve"),CONCATENATE("R2C",'Mapa final'!$O$17),"")</f>
        <v/>
      </c>
      <c r="N27" s="66" t="e">
        <f>IF(AND('Mapa final'!#REF!="Media",'Mapa final'!#REF!="Leve"),CONCATENATE("R2C",'Mapa final'!#REF!),"")</f>
        <v>#REF!</v>
      </c>
      <c r="O27" s="67" t="e">
        <f>IF(AND('Mapa final'!#REF!="Media",'Mapa final'!#REF!="Leve"),CONCATENATE("R2C",'Mapa final'!#REF!),"")</f>
        <v>#REF!</v>
      </c>
      <c r="P27" s="65" t="str">
        <f>IF(AND('Mapa final'!$Y$14="Media",'Mapa final'!$AA$14="Menor"),CONCATENATE("R2C",'Mapa final'!$O$14),"")</f>
        <v/>
      </c>
      <c r="Q27" s="66" t="str">
        <f>IF(AND('Mapa final'!$Y$15="Media",'Mapa final'!$AA$15="Menor"),CONCATENATE("R2C",'Mapa final'!$O$15),"")</f>
        <v/>
      </c>
      <c r="R27" s="66" t="str">
        <f>IF(AND('Mapa final'!$Y$16="Media",'Mapa final'!$AA$16="Menor"),CONCATENATE("R2C",'Mapa final'!$O$16),"")</f>
        <v>R2C3</v>
      </c>
      <c r="S27" s="66" t="str">
        <f>IF(AND('Mapa final'!$Y$17="Media",'Mapa final'!$AA$17="Menor"),CONCATENATE("R2C",'Mapa final'!$O$17),"")</f>
        <v>R2C4</v>
      </c>
      <c r="T27" s="66" t="e">
        <f>IF(AND('Mapa final'!#REF!="Media",'Mapa final'!#REF!="Menor"),CONCATENATE("R2C",'Mapa final'!#REF!),"")</f>
        <v>#REF!</v>
      </c>
      <c r="U27" s="67" t="e">
        <f>IF(AND('Mapa final'!#REF!="Media",'Mapa final'!#REF!="Menor"),CONCATENATE("R2C",'Mapa final'!#REF!),"")</f>
        <v>#REF!</v>
      </c>
      <c r="V27" s="65" t="str">
        <f>IF(AND('Mapa final'!$Y$14="Media",'Mapa final'!$AA$14="Moderado"),CONCATENATE("R2C",'Mapa final'!$O$14),"")</f>
        <v>R2C1</v>
      </c>
      <c r="W27" s="66" t="str">
        <f>IF(AND('Mapa final'!$Y$15="Media",'Mapa final'!$AA$15="Moderado"),CONCATENATE("R2C",'Mapa final'!$O$15),"")</f>
        <v>R2C2</v>
      </c>
      <c r="X27" s="66" t="str">
        <f>IF(AND('Mapa final'!$Y$16="Media",'Mapa final'!$AA$16="Moderado"),CONCATENATE("R2C",'Mapa final'!$O$16),"")</f>
        <v/>
      </c>
      <c r="Y27" s="66" t="str">
        <f>IF(AND('Mapa final'!$Y$17="Media",'Mapa final'!$AA$17="Moderado"),CONCATENATE("R2C",'Mapa final'!$O$17),"")</f>
        <v/>
      </c>
      <c r="Z27" s="66" t="e">
        <f>IF(AND('Mapa final'!#REF!="Media",'Mapa final'!#REF!="Moderado"),CONCATENATE("R2C",'Mapa final'!#REF!),"")</f>
        <v>#REF!</v>
      </c>
      <c r="AA27" s="67" t="e">
        <f>IF(AND('Mapa final'!#REF!="Media",'Mapa final'!#REF!="Moderado"),CONCATENATE("R2C",'Mapa final'!#REF!),"")</f>
        <v>#REF!</v>
      </c>
      <c r="AB27" s="50" t="str">
        <f>IF(AND('Mapa final'!$Y$14="Media",'Mapa final'!$AA$14="Mayor"),CONCATENATE("R2C",'Mapa final'!$O$14),"")</f>
        <v/>
      </c>
      <c r="AC27" s="51" t="str">
        <f>IF(AND('Mapa final'!$Y$15="Media",'Mapa final'!$AA$15="Mayor"),CONCATENATE("R2C",'Mapa final'!$O$15),"")</f>
        <v/>
      </c>
      <c r="AD27" s="51" t="str">
        <f>IF(AND('Mapa final'!$Y$16="Media",'Mapa final'!$AA$16="Mayor"),CONCATENATE("R2C",'Mapa final'!$O$16),"")</f>
        <v/>
      </c>
      <c r="AE27" s="51" t="str">
        <f>IF(AND('Mapa final'!$Y$17="Media",'Mapa final'!$AA$17="Mayor"),CONCATENATE("R2C",'Mapa final'!$O$17),"")</f>
        <v/>
      </c>
      <c r="AF27" s="51" t="e">
        <f>IF(AND('Mapa final'!#REF!="Media",'Mapa final'!#REF!="Mayor"),CONCATENATE("R2C",'Mapa final'!#REF!),"")</f>
        <v>#REF!</v>
      </c>
      <c r="AG27" s="52" t="e">
        <f>IF(AND('Mapa final'!#REF!="Media",'Mapa final'!#REF!="Mayor"),CONCATENATE("R2C",'Mapa final'!#REF!),"")</f>
        <v>#REF!</v>
      </c>
      <c r="AH27" s="53" t="str">
        <f>IF(AND('Mapa final'!$Y$14="Media",'Mapa final'!$AA$14="Catastrófico"),CONCATENATE("R2C",'Mapa final'!$O$14),"")</f>
        <v/>
      </c>
      <c r="AI27" s="54" t="str">
        <f>IF(AND('Mapa final'!$Y$15="Media",'Mapa final'!$AA$15="Catastrófico"),CONCATENATE("R2C",'Mapa final'!$O$15),"")</f>
        <v/>
      </c>
      <c r="AJ27" s="54" t="str">
        <f>IF(AND('Mapa final'!$Y$16="Media",'Mapa final'!$AA$16="Catastrófico"),CONCATENATE("R2C",'Mapa final'!$O$16),"")</f>
        <v/>
      </c>
      <c r="AK27" s="54" t="str">
        <f>IF(AND('Mapa final'!$Y$17="Media",'Mapa final'!$AA$17="Catastrófico"),CONCATENATE("R2C",'Mapa final'!$O$17),"")</f>
        <v/>
      </c>
      <c r="AL27" s="54" t="e">
        <f>IF(AND('Mapa final'!#REF!="Media",'Mapa final'!#REF!="Catastrófico"),CONCATENATE("R2C",'Mapa final'!#REF!),"")</f>
        <v>#REF!</v>
      </c>
      <c r="AM27" s="55" t="e">
        <f>IF(AND('Mapa final'!#REF!="Media",'Mapa final'!#REF!="Catastrófico"),CONCATENATE("R2C",'Mapa final'!#REF!),"")</f>
        <v>#REF!</v>
      </c>
      <c r="AN27" s="81"/>
      <c r="AO27" s="370"/>
      <c r="AP27" s="371"/>
      <c r="AQ27" s="371"/>
      <c r="AR27" s="371"/>
      <c r="AS27" s="371"/>
      <c r="AT27" s="372"/>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289"/>
      <c r="C28" s="289"/>
      <c r="D28" s="290"/>
      <c r="E28" s="330"/>
      <c r="F28" s="331"/>
      <c r="G28" s="331"/>
      <c r="H28" s="331"/>
      <c r="I28" s="332"/>
      <c r="J28" s="65" t="str">
        <f>IF(AND('Mapa final'!$Y$18="Media",'Mapa final'!$AA$18="Leve"),CONCATENATE("R3C",'Mapa final'!$O$18),"")</f>
        <v/>
      </c>
      <c r="K28" s="66" t="str">
        <f>IF(AND('Mapa final'!$Y$19="Media",'Mapa final'!$AA$19="Leve"),CONCATENATE("R3C",'Mapa final'!$O$19),"")</f>
        <v/>
      </c>
      <c r="L28" s="66" t="e">
        <f>IF(AND('Mapa final'!#REF!="Media",'Mapa final'!#REF!="Leve"),CONCATENATE("R3C",'Mapa final'!#REF!),"")</f>
        <v>#REF!</v>
      </c>
      <c r="M28" s="66" t="e">
        <f>IF(AND('Mapa final'!#REF!="Media",'Mapa final'!#REF!="Leve"),CONCATENATE("R3C",'Mapa final'!#REF!),"")</f>
        <v>#REF!</v>
      </c>
      <c r="N28" s="66" t="e">
        <f>IF(AND('Mapa final'!#REF!="Media",'Mapa final'!#REF!="Leve"),CONCATENATE("R3C",'Mapa final'!#REF!),"")</f>
        <v>#REF!</v>
      </c>
      <c r="O28" s="67" t="e">
        <f>IF(AND('Mapa final'!#REF!="Media",'Mapa final'!#REF!="Leve"),CONCATENATE("R3C",'Mapa final'!#REF!),"")</f>
        <v>#REF!</v>
      </c>
      <c r="P28" s="65" t="str">
        <f>IF(AND('Mapa final'!$Y$18="Media",'Mapa final'!$AA$18="Menor"),CONCATENATE("R3C",'Mapa final'!$O$18),"")</f>
        <v/>
      </c>
      <c r="Q28" s="66" t="str">
        <f>IF(AND('Mapa final'!$Y$19="Media",'Mapa final'!$AA$19="Menor"),CONCATENATE("R3C",'Mapa final'!$O$19),"")</f>
        <v/>
      </c>
      <c r="R28" s="66" t="e">
        <f>IF(AND('Mapa final'!#REF!="Media",'Mapa final'!#REF!="Menor"),CONCATENATE("R3C",'Mapa final'!#REF!),"")</f>
        <v>#REF!</v>
      </c>
      <c r="S28" s="66" t="e">
        <f>IF(AND('Mapa final'!#REF!="Media",'Mapa final'!#REF!="Menor"),CONCATENATE("R3C",'Mapa final'!#REF!),"")</f>
        <v>#REF!</v>
      </c>
      <c r="T28" s="66" t="e">
        <f>IF(AND('Mapa final'!#REF!="Media",'Mapa final'!#REF!="Menor"),CONCATENATE("R3C",'Mapa final'!#REF!),"")</f>
        <v>#REF!</v>
      </c>
      <c r="U28" s="67" t="e">
        <f>IF(AND('Mapa final'!#REF!="Media",'Mapa final'!#REF!="Menor"),CONCATENATE("R3C",'Mapa final'!#REF!),"")</f>
        <v>#REF!</v>
      </c>
      <c r="V28" s="65" t="str">
        <f>IF(AND('Mapa final'!$Y$18="Media",'Mapa final'!$AA$18="Moderado"),CONCATENATE("R3C",'Mapa final'!$O$18),"")</f>
        <v>R3C1</v>
      </c>
      <c r="W28" s="66" t="str">
        <f>IF(AND('Mapa final'!$Y$19="Media",'Mapa final'!$AA$19="Moderado"),CONCATENATE("R3C",'Mapa final'!$O$19),"")</f>
        <v/>
      </c>
      <c r="X28" s="66" t="e">
        <f>IF(AND('Mapa final'!#REF!="Media",'Mapa final'!#REF!="Moderado"),CONCATENATE("R3C",'Mapa final'!#REF!),"")</f>
        <v>#REF!</v>
      </c>
      <c r="Y28" s="66" t="e">
        <f>IF(AND('Mapa final'!#REF!="Media",'Mapa final'!#REF!="Moderado"),CONCATENATE("R3C",'Mapa final'!#REF!),"")</f>
        <v>#REF!</v>
      </c>
      <c r="Z28" s="66" t="e">
        <f>IF(AND('Mapa final'!#REF!="Media",'Mapa final'!#REF!="Moderado"),CONCATENATE("R3C",'Mapa final'!#REF!),"")</f>
        <v>#REF!</v>
      </c>
      <c r="AA28" s="67" t="e">
        <f>IF(AND('Mapa final'!#REF!="Media",'Mapa final'!#REF!="Moderado"),CONCATENATE("R3C",'Mapa final'!#REF!),"")</f>
        <v>#REF!</v>
      </c>
      <c r="AB28" s="50" t="str">
        <f>IF(AND('Mapa final'!$Y$18="Media",'Mapa final'!$AA$18="Mayor"),CONCATENATE("R3C",'Mapa final'!$O$18),"")</f>
        <v/>
      </c>
      <c r="AC28" s="51" t="str">
        <f>IF(AND('Mapa final'!$Y$19="Media",'Mapa final'!$AA$19="Mayor"),CONCATENATE("R3C",'Mapa final'!$O$19),"")</f>
        <v/>
      </c>
      <c r="AD28" s="51" t="e">
        <f>IF(AND('Mapa final'!#REF!="Media",'Mapa final'!#REF!="Mayor"),CONCATENATE("R3C",'Mapa final'!#REF!),"")</f>
        <v>#REF!</v>
      </c>
      <c r="AE28" s="51" t="e">
        <f>IF(AND('Mapa final'!#REF!="Media",'Mapa final'!#REF!="Mayor"),CONCATENATE("R3C",'Mapa final'!#REF!),"")</f>
        <v>#REF!</v>
      </c>
      <c r="AF28" s="51" t="e">
        <f>IF(AND('Mapa final'!#REF!="Media",'Mapa final'!#REF!="Mayor"),CONCATENATE("R3C",'Mapa final'!#REF!),"")</f>
        <v>#REF!</v>
      </c>
      <c r="AG28" s="52" t="e">
        <f>IF(AND('Mapa final'!#REF!="Media",'Mapa final'!#REF!="Mayor"),CONCATENATE("R3C",'Mapa final'!#REF!),"")</f>
        <v>#REF!</v>
      </c>
      <c r="AH28" s="53" t="str">
        <f>IF(AND('Mapa final'!$Y$18="Media",'Mapa final'!$AA$18="Catastrófico"),CONCATENATE("R3C",'Mapa final'!$O$18),"")</f>
        <v/>
      </c>
      <c r="AI28" s="54" t="str">
        <f>IF(AND('Mapa final'!$Y$19="Media",'Mapa final'!$AA$19="Catastrófico"),CONCATENATE("R3C",'Mapa final'!$O$19),"")</f>
        <v/>
      </c>
      <c r="AJ28" s="54" t="e">
        <f>IF(AND('Mapa final'!#REF!="Media",'Mapa final'!#REF!="Catastrófico"),CONCATENATE("R3C",'Mapa final'!#REF!),"")</f>
        <v>#REF!</v>
      </c>
      <c r="AK28" s="54" t="e">
        <f>IF(AND('Mapa final'!#REF!="Media",'Mapa final'!#REF!="Catastrófico"),CONCATENATE("R3C",'Mapa final'!#REF!),"")</f>
        <v>#REF!</v>
      </c>
      <c r="AL28" s="54" t="e">
        <f>IF(AND('Mapa final'!#REF!="Media",'Mapa final'!#REF!="Catastrófico"),CONCATENATE("R3C",'Mapa final'!#REF!),"")</f>
        <v>#REF!</v>
      </c>
      <c r="AM28" s="55" t="e">
        <f>IF(AND('Mapa final'!#REF!="Media",'Mapa final'!#REF!="Catastrófico"),CONCATENATE("R3C",'Mapa final'!#REF!),"")</f>
        <v>#REF!</v>
      </c>
      <c r="AN28" s="81"/>
      <c r="AO28" s="370"/>
      <c r="AP28" s="371"/>
      <c r="AQ28" s="371"/>
      <c r="AR28" s="371"/>
      <c r="AS28" s="371"/>
      <c r="AT28" s="372"/>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289"/>
      <c r="C29" s="289"/>
      <c r="D29" s="290"/>
      <c r="E29" s="330"/>
      <c r="F29" s="331"/>
      <c r="G29" s="331"/>
      <c r="H29" s="331"/>
      <c r="I29" s="332"/>
      <c r="J29" s="65" t="str">
        <f>IF(AND('Mapa final'!$Y$20="Media",'Mapa final'!$AA$20="Leve"),CONCATENATE("R4C",'Mapa final'!$O$20),"")</f>
        <v/>
      </c>
      <c r="K29" s="66" t="str">
        <f>IF(AND('Mapa final'!$Y$21="Media",'Mapa final'!$AA$21="Leve"),CONCATENATE("R4C",'Mapa final'!$O$21),"")</f>
        <v/>
      </c>
      <c r="L29" s="66" t="str">
        <f>IF(AND('Mapa final'!$Y$22="Media",'Mapa final'!$AA$22="Leve"),CONCATENATE("R4C",'Mapa final'!$O$22),"")</f>
        <v/>
      </c>
      <c r="M29" s="66" t="str">
        <f>IF(AND('Mapa final'!$Y$23="Media",'Mapa final'!$AA$23="Leve"),CONCATENATE("R4C",'Mapa final'!$O$23),"")</f>
        <v/>
      </c>
      <c r="N29" s="66" t="e">
        <f>IF(AND('Mapa final'!#REF!="Media",'Mapa final'!#REF!="Leve"),CONCATENATE("R4C",'Mapa final'!#REF!),"")</f>
        <v>#REF!</v>
      </c>
      <c r="O29" s="67" t="e">
        <f>IF(AND('Mapa final'!#REF!="Media",'Mapa final'!#REF!="Leve"),CONCATENATE("R4C",'Mapa final'!#REF!),"")</f>
        <v>#REF!</v>
      </c>
      <c r="P29" s="65" t="str">
        <f>IF(AND('Mapa final'!$Y$20="Media",'Mapa final'!$AA$20="Menor"),CONCATENATE("R4C",'Mapa final'!$O$20),"")</f>
        <v/>
      </c>
      <c r="Q29" s="66" t="str">
        <f>IF(AND('Mapa final'!$Y$21="Media",'Mapa final'!$AA$21="Menor"),CONCATENATE("R4C",'Mapa final'!$O$21),"")</f>
        <v>R4C2</v>
      </c>
      <c r="R29" s="66" t="str">
        <f>IF(AND('Mapa final'!$Y$22="Media",'Mapa final'!$AA$22="Menor"),CONCATENATE("R4C",'Mapa final'!$O$22),"")</f>
        <v>R4C3</v>
      </c>
      <c r="S29" s="66" t="str">
        <f>IF(AND('Mapa final'!$Y$23="Media",'Mapa final'!$AA$23="Menor"),CONCATENATE("R4C",'Mapa final'!$O$23),"")</f>
        <v/>
      </c>
      <c r="T29" s="66" t="e">
        <f>IF(AND('Mapa final'!#REF!="Media",'Mapa final'!#REF!="Menor"),CONCATENATE("R4C",'Mapa final'!#REF!),"")</f>
        <v>#REF!</v>
      </c>
      <c r="U29" s="67" t="e">
        <f>IF(AND('Mapa final'!#REF!="Media",'Mapa final'!#REF!="Menor"),CONCATENATE("R4C",'Mapa final'!#REF!),"")</f>
        <v>#REF!</v>
      </c>
      <c r="V29" s="65" t="str">
        <f>IF(AND('Mapa final'!$Y$20="Media",'Mapa final'!$AA$20="Moderado"),CONCATENATE("R4C",'Mapa final'!$O$20),"")</f>
        <v>R4C1</v>
      </c>
      <c r="W29" s="66" t="str">
        <f>IF(AND('Mapa final'!$Y$21="Media",'Mapa final'!$AA$21="Moderado"),CONCATENATE("R4C",'Mapa final'!$O$21),"")</f>
        <v/>
      </c>
      <c r="X29" s="66" t="str">
        <f>IF(AND('Mapa final'!$Y$22="Media",'Mapa final'!$AA$22="Moderado"),CONCATENATE("R4C",'Mapa final'!$O$22),"")</f>
        <v/>
      </c>
      <c r="Y29" s="66" t="str">
        <f>IF(AND('Mapa final'!$Y$23="Media",'Mapa final'!$AA$23="Moderado"),CONCATENATE("R4C",'Mapa final'!$O$23),"")</f>
        <v/>
      </c>
      <c r="Z29" s="66" t="e">
        <f>IF(AND('Mapa final'!#REF!="Media",'Mapa final'!#REF!="Moderado"),CONCATENATE("R4C",'Mapa final'!#REF!),"")</f>
        <v>#REF!</v>
      </c>
      <c r="AA29" s="67" t="e">
        <f>IF(AND('Mapa final'!#REF!="Media",'Mapa final'!#REF!="Moderado"),CONCATENATE("R4C",'Mapa final'!#REF!),"")</f>
        <v>#REF!</v>
      </c>
      <c r="AB29" s="50" t="str">
        <f>IF(AND('Mapa final'!$Y$20="Media",'Mapa final'!$AA$20="Mayor"),CONCATENATE("R4C",'Mapa final'!$O$20),"")</f>
        <v/>
      </c>
      <c r="AC29" s="51" t="str">
        <f>IF(AND('Mapa final'!$Y$21="Media",'Mapa final'!$AA$21="Mayor"),CONCATENATE("R4C",'Mapa final'!$O$21),"")</f>
        <v/>
      </c>
      <c r="AD29" s="51" t="str">
        <f>IF(AND('Mapa final'!$Y$22="Media",'Mapa final'!$AA$22="Mayor"),CONCATENATE("R4C",'Mapa final'!$O$22),"")</f>
        <v/>
      </c>
      <c r="AE29" s="51" t="str">
        <f>IF(AND('Mapa final'!$Y$23="Media",'Mapa final'!$AA$23="Mayor"),CONCATENATE("R4C",'Mapa final'!$O$23),"")</f>
        <v/>
      </c>
      <c r="AF29" s="51" t="e">
        <f>IF(AND('Mapa final'!#REF!="Media",'Mapa final'!#REF!="Mayor"),CONCATENATE("R4C",'Mapa final'!#REF!),"")</f>
        <v>#REF!</v>
      </c>
      <c r="AG29" s="52" t="e">
        <f>IF(AND('Mapa final'!#REF!="Media",'Mapa final'!#REF!="Mayor"),CONCATENATE("R4C",'Mapa final'!#REF!),"")</f>
        <v>#REF!</v>
      </c>
      <c r="AH29" s="53" t="str">
        <f>IF(AND('Mapa final'!$Y$20="Media",'Mapa final'!$AA$20="Catastrófico"),CONCATENATE("R4C",'Mapa final'!$O$20),"")</f>
        <v/>
      </c>
      <c r="AI29" s="54" t="str">
        <f>IF(AND('Mapa final'!$Y$21="Media",'Mapa final'!$AA$21="Catastrófico"),CONCATENATE("R4C",'Mapa final'!$O$21),"")</f>
        <v/>
      </c>
      <c r="AJ29" s="54" t="str">
        <f>IF(AND('Mapa final'!$Y$22="Media",'Mapa final'!$AA$22="Catastrófico"),CONCATENATE("R4C",'Mapa final'!$O$22),"")</f>
        <v/>
      </c>
      <c r="AK29" s="54" t="str">
        <f>IF(AND('Mapa final'!$Y$23="Media",'Mapa final'!$AA$23="Catastrófico"),CONCATENATE("R4C",'Mapa final'!$O$23),"")</f>
        <v/>
      </c>
      <c r="AL29" s="54" t="e">
        <f>IF(AND('Mapa final'!#REF!="Media",'Mapa final'!#REF!="Catastrófico"),CONCATENATE("R4C",'Mapa final'!#REF!),"")</f>
        <v>#REF!</v>
      </c>
      <c r="AM29" s="55" t="e">
        <f>IF(AND('Mapa final'!#REF!="Media",'Mapa final'!#REF!="Catastrófico"),CONCATENATE("R4C",'Mapa final'!#REF!),"")</f>
        <v>#REF!</v>
      </c>
      <c r="AN29" s="81"/>
      <c r="AO29" s="370"/>
      <c r="AP29" s="371"/>
      <c r="AQ29" s="371"/>
      <c r="AR29" s="371"/>
      <c r="AS29" s="371"/>
      <c r="AT29" s="372"/>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289"/>
      <c r="C30" s="289"/>
      <c r="D30" s="290"/>
      <c r="E30" s="330"/>
      <c r="F30" s="331"/>
      <c r="G30" s="331"/>
      <c r="H30" s="331"/>
      <c r="I30" s="332"/>
      <c r="J30" s="65" t="str">
        <f>IF(AND('Mapa final'!$Y$24="Media",'Mapa final'!$AA$24="Leve"),CONCATENATE("R5C",'Mapa final'!$O$24),"")</f>
        <v/>
      </c>
      <c r="K30" s="66" t="str">
        <f>IF(AND('Mapa final'!$Y$25="Media",'Mapa final'!$AA$25="Leve"),CONCATENATE("R5C",'Mapa final'!$O$25),"")</f>
        <v/>
      </c>
      <c r="L30" s="66" t="str">
        <f>IF(AND('Mapa final'!$Y$26="Media",'Mapa final'!$AA$26="Leve"),CONCATENATE("R5C",'Mapa final'!$O$26),"")</f>
        <v/>
      </c>
      <c r="M30" s="66" t="str">
        <f>IF(AND('Mapa final'!$Y$27="Media",'Mapa final'!$AA$27="Leve"),CONCATENATE("R5C",'Mapa final'!$O$27),"")</f>
        <v/>
      </c>
      <c r="N30" s="66" t="str">
        <f>IF(AND('Mapa final'!$Y$28="Media",'Mapa final'!$AA$28="Leve"),CONCATENATE("R5C",'Mapa final'!$O$28),"")</f>
        <v/>
      </c>
      <c r="O30" s="67" t="str">
        <f>IF(AND('Mapa final'!$Y$29="Media",'Mapa final'!$AA$29="Leve"),CONCATENATE("R5C",'Mapa final'!$O$29),"")</f>
        <v/>
      </c>
      <c r="P30" s="65" t="str">
        <f>IF(AND('Mapa final'!$Y$24="Media",'Mapa final'!$AA$24="Menor"),CONCATENATE("R5C",'Mapa final'!$O$24),"")</f>
        <v/>
      </c>
      <c r="Q30" s="66" t="str">
        <f>IF(AND('Mapa final'!$Y$25="Media",'Mapa final'!$AA$25="Menor"),CONCATENATE("R5C",'Mapa final'!$O$25),"")</f>
        <v/>
      </c>
      <c r="R30" s="66" t="str">
        <f>IF(AND('Mapa final'!$Y$26="Media",'Mapa final'!$AA$26="Menor"),CONCATENATE("R5C",'Mapa final'!$O$26),"")</f>
        <v/>
      </c>
      <c r="S30" s="66" t="str">
        <f>IF(AND('Mapa final'!$Y$27="Media",'Mapa final'!$AA$27="Menor"),CONCATENATE("R5C",'Mapa final'!$O$27),"")</f>
        <v/>
      </c>
      <c r="T30" s="66" t="str">
        <f>IF(AND('Mapa final'!$Y$28="Media",'Mapa final'!$AA$28="Menor"),CONCATENATE("R5C",'Mapa final'!$O$28),"")</f>
        <v/>
      </c>
      <c r="U30" s="67" t="str">
        <f>IF(AND('Mapa final'!$Y$29="Media",'Mapa final'!$AA$29="Menor"),CONCATENATE("R5C",'Mapa final'!$O$29),"")</f>
        <v/>
      </c>
      <c r="V30" s="65" t="str">
        <f>IF(AND('Mapa final'!$Y$24="Media",'Mapa final'!$AA$24="Moderado"),CONCATENATE("R5C",'Mapa final'!$O$24),"")</f>
        <v/>
      </c>
      <c r="W30" s="66" t="str">
        <f>IF(AND('Mapa final'!$Y$25="Media",'Mapa final'!$AA$25="Moderado"),CONCATENATE("R5C",'Mapa final'!$O$25),"")</f>
        <v/>
      </c>
      <c r="X30" s="66" t="str">
        <f>IF(AND('Mapa final'!$Y$26="Media",'Mapa final'!$AA$26="Moderado"),CONCATENATE("R5C",'Mapa final'!$O$26),"")</f>
        <v/>
      </c>
      <c r="Y30" s="66" t="str">
        <f>IF(AND('Mapa final'!$Y$27="Media",'Mapa final'!$AA$27="Moderado"),CONCATENATE("R5C",'Mapa final'!$O$27),"")</f>
        <v/>
      </c>
      <c r="Z30" s="66" t="str">
        <f>IF(AND('Mapa final'!$Y$28="Media",'Mapa final'!$AA$28="Moderado"),CONCATENATE("R5C",'Mapa final'!$O$28),"")</f>
        <v/>
      </c>
      <c r="AA30" s="67" t="str">
        <f>IF(AND('Mapa final'!$Y$29="Media",'Mapa final'!$AA$29="Moderado"),CONCATENATE("R5C",'Mapa final'!$O$29),"")</f>
        <v/>
      </c>
      <c r="AB30" s="50" t="str">
        <f>IF(AND('Mapa final'!$Y$24="Media",'Mapa final'!$AA$24="Mayor"),CONCATENATE("R5C",'Mapa final'!$O$24),"")</f>
        <v/>
      </c>
      <c r="AC30" s="51" t="str">
        <f>IF(AND('Mapa final'!$Y$25="Media",'Mapa final'!$AA$25="Mayor"),CONCATENATE("R5C",'Mapa final'!$O$25),"")</f>
        <v/>
      </c>
      <c r="AD30" s="51" t="str">
        <f>IF(AND('Mapa final'!$Y$26="Media",'Mapa final'!$AA$26="Mayor"),CONCATENATE("R5C",'Mapa final'!$O$26),"")</f>
        <v/>
      </c>
      <c r="AE30" s="51" t="str">
        <f>IF(AND('Mapa final'!$Y$27="Media",'Mapa final'!$AA$27="Mayor"),CONCATENATE("R5C",'Mapa final'!$O$27),"")</f>
        <v/>
      </c>
      <c r="AF30" s="51" t="str">
        <f>IF(AND('Mapa final'!$Y$28="Media",'Mapa final'!$AA$28="Mayor"),CONCATENATE("R5C",'Mapa final'!$O$28),"")</f>
        <v/>
      </c>
      <c r="AG30" s="52" t="str">
        <f>IF(AND('Mapa final'!$Y$29="Media",'Mapa final'!$AA$29="Mayor"),CONCATENATE("R5C",'Mapa final'!$O$29),"")</f>
        <v/>
      </c>
      <c r="AH30" s="53" t="str">
        <f>IF(AND('Mapa final'!$Y$24="Media",'Mapa final'!$AA$24="Catastrófico"),CONCATENATE("R5C",'Mapa final'!$O$24),"")</f>
        <v/>
      </c>
      <c r="AI30" s="54" t="str">
        <f>IF(AND('Mapa final'!$Y$25="Media",'Mapa final'!$AA$25="Catastrófico"),CONCATENATE("R5C",'Mapa final'!$O$25),"")</f>
        <v/>
      </c>
      <c r="AJ30" s="54" t="str">
        <f>IF(AND('Mapa final'!$Y$26="Media",'Mapa final'!$AA$26="Catastrófico"),CONCATENATE("R5C",'Mapa final'!$O$26),"")</f>
        <v/>
      </c>
      <c r="AK30" s="54" t="str">
        <f>IF(AND('Mapa final'!$Y$27="Media",'Mapa final'!$AA$27="Catastrófico"),CONCATENATE("R5C",'Mapa final'!$O$27),"")</f>
        <v/>
      </c>
      <c r="AL30" s="54" t="str">
        <f>IF(AND('Mapa final'!$Y$28="Media",'Mapa final'!$AA$28="Catastrófico"),CONCATENATE("R5C",'Mapa final'!$O$28),"")</f>
        <v/>
      </c>
      <c r="AM30" s="55" t="str">
        <f>IF(AND('Mapa final'!$Y$29="Media",'Mapa final'!$AA$29="Catastrófico"),CONCATENATE("R5C",'Mapa final'!$O$29),"")</f>
        <v/>
      </c>
      <c r="AN30" s="81"/>
      <c r="AO30" s="370"/>
      <c r="AP30" s="371"/>
      <c r="AQ30" s="371"/>
      <c r="AR30" s="371"/>
      <c r="AS30" s="371"/>
      <c r="AT30" s="372"/>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289"/>
      <c r="C31" s="289"/>
      <c r="D31" s="290"/>
      <c r="E31" s="330"/>
      <c r="F31" s="331"/>
      <c r="G31" s="331"/>
      <c r="H31" s="331"/>
      <c r="I31" s="332"/>
      <c r="J31" s="65" t="str">
        <f>IF(AND('Mapa final'!$Y$30="Media",'Mapa final'!$AA$30="Leve"),CONCATENATE("R6C",'Mapa final'!$O$30),"")</f>
        <v/>
      </c>
      <c r="K31" s="66" t="str">
        <f>IF(AND('Mapa final'!$Y$31="Media",'Mapa final'!$AA$31="Leve"),CONCATENATE("R6C",'Mapa final'!$O$31),"")</f>
        <v/>
      </c>
      <c r="L31" s="66" t="str">
        <f>IF(AND('Mapa final'!$Y$32="Media",'Mapa final'!$AA$32="Leve"),CONCATENATE("R6C",'Mapa final'!$O$32),"")</f>
        <v/>
      </c>
      <c r="M31" s="66" t="str">
        <f>IF(AND('Mapa final'!$Y$33="Media",'Mapa final'!$AA$33="Leve"),CONCATENATE("R6C",'Mapa final'!$O$33),"")</f>
        <v/>
      </c>
      <c r="N31" s="66" t="str">
        <f>IF(AND('Mapa final'!$Y$34="Media",'Mapa final'!$AA$34="Leve"),CONCATENATE("R6C",'Mapa final'!$O$34),"")</f>
        <v/>
      </c>
      <c r="O31" s="67" t="str">
        <f>IF(AND('Mapa final'!$Y$35="Media",'Mapa final'!$AA$35="Leve"),CONCATENATE("R6C",'Mapa final'!$O$35),"")</f>
        <v/>
      </c>
      <c r="P31" s="65" t="str">
        <f>IF(AND('Mapa final'!$Y$30="Media",'Mapa final'!$AA$30="Menor"),CONCATENATE("R6C",'Mapa final'!$O$30),"")</f>
        <v/>
      </c>
      <c r="Q31" s="66" t="str">
        <f>IF(AND('Mapa final'!$Y$31="Media",'Mapa final'!$AA$31="Menor"),CONCATENATE("R6C",'Mapa final'!$O$31),"")</f>
        <v/>
      </c>
      <c r="R31" s="66" t="str">
        <f>IF(AND('Mapa final'!$Y$32="Media",'Mapa final'!$AA$32="Menor"),CONCATENATE("R6C",'Mapa final'!$O$32),"")</f>
        <v/>
      </c>
      <c r="S31" s="66" t="str">
        <f>IF(AND('Mapa final'!$Y$33="Media",'Mapa final'!$AA$33="Menor"),CONCATENATE("R6C",'Mapa final'!$O$33),"")</f>
        <v/>
      </c>
      <c r="T31" s="66" t="str">
        <f>IF(AND('Mapa final'!$Y$34="Media",'Mapa final'!$AA$34="Menor"),CONCATENATE("R6C",'Mapa final'!$O$34),"")</f>
        <v/>
      </c>
      <c r="U31" s="67" t="str">
        <f>IF(AND('Mapa final'!$Y$35="Media",'Mapa final'!$AA$35="Menor"),CONCATENATE("R6C",'Mapa final'!$O$35),"")</f>
        <v/>
      </c>
      <c r="V31" s="65" t="str">
        <f>IF(AND('Mapa final'!$Y$30="Media",'Mapa final'!$AA$30="Moderado"),CONCATENATE("R6C",'Mapa final'!$O$30),"")</f>
        <v/>
      </c>
      <c r="W31" s="66" t="str">
        <f>IF(AND('Mapa final'!$Y$31="Media",'Mapa final'!$AA$31="Moderado"),CONCATENATE("R6C",'Mapa final'!$O$31),"")</f>
        <v/>
      </c>
      <c r="X31" s="66" t="str">
        <f>IF(AND('Mapa final'!$Y$32="Media",'Mapa final'!$AA$32="Moderado"),CONCATENATE("R6C",'Mapa final'!$O$32),"")</f>
        <v/>
      </c>
      <c r="Y31" s="66" t="str">
        <f>IF(AND('Mapa final'!$Y$33="Media",'Mapa final'!$AA$33="Moderado"),CONCATENATE("R6C",'Mapa final'!$O$33),"")</f>
        <v/>
      </c>
      <c r="Z31" s="66" t="str">
        <f>IF(AND('Mapa final'!$Y$34="Media",'Mapa final'!$AA$34="Moderado"),CONCATENATE("R6C",'Mapa final'!$O$34),"")</f>
        <v/>
      </c>
      <c r="AA31" s="67" t="str">
        <f>IF(AND('Mapa final'!$Y$35="Media",'Mapa final'!$AA$35="Moderado"),CONCATENATE("R6C",'Mapa final'!$O$35),"")</f>
        <v/>
      </c>
      <c r="AB31" s="50" t="str">
        <f>IF(AND('Mapa final'!$Y$30="Media",'Mapa final'!$AA$30="Mayor"),CONCATENATE("R6C",'Mapa final'!$O$30),"")</f>
        <v/>
      </c>
      <c r="AC31" s="51" t="str">
        <f>IF(AND('Mapa final'!$Y$31="Media",'Mapa final'!$AA$31="Mayor"),CONCATENATE("R6C",'Mapa final'!$O$31),"")</f>
        <v/>
      </c>
      <c r="AD31" s="51" t="str">
        <f>IF(AND('Mapa final'!$Y$32="Media",'Mapa final'!$AA$32="Mayor"),CONCATENATE("R6C",'Mapa final'!$O$32),"")</f>
        <v/>
      </c>
      <c r="AE31" s="51" t="str">
        <f>IF(AND('Mapa final'!$Y$33="Media",'Mapa final'!$AA$33="Mayor"),CONCATENATE("R6C",'Mapa final'!$O$33),"")</f>
        <v/>
      </c>
      <c r="AF31" s="51" t="str">
        <f>IF(AND('Mapa final'!$Y$34="Media",'Mapa final'!$AA$34="Mayor"),CONCATENATE("R6C",'Mapa final'!$O$34),"")</f>
        <v/>
      </c>
      <c r="AG31" s="52" t="str">
        <f>IF(AND('Mapa final'!$Y$35="Media",'Mapa final'!$AA$35="Mayor"),CONCATENATE("R6C",'Mapa final'!$O$35),"")</f>
        <v/>
      </c>
      <c r="AH31" s="53" t="str">
        <f>IF(AND('Mapa final'!$Y$30="Media",'Mapa final'!$AA$30="Catastrófico"),CONCATENATE("R6C",'Mapa final'!$O$30),"")</f>
        <v/>
      </c>
      <c r="AI31" s="54" t="str">
        <f>IF(AND('Mapa final'!$Y$31="Media",'Mapa final'!$AA$31="Catastrófico"),CONCATENATE("R6C",'Mapa final'!$O$31),"")</f>
        <v/>
      </c>
      <c r="AJ31" s="54" t="str">
        <f>IF(AND('Mapa final'!$Y$32="Media",'Mapa final'!$AA$32="Catastrófico"),CONCATENATE("R6C",'Mapa final'!$O$32),"")</f>
        <v/>
      </c>
      <c r="AK31" s="54" t="str">
        <f>IF(AND('Mapa final'!$Y$33="Media",'Mapa final'!$AA$33="Catastrófico"),CONCATENATE("R6C",'Mapa final'!$O$33),"")</f>
        <v/>
      </c>
      <c r="AL31" s="54" t="str">
        <f>IF(AND('Mapa final'!$Y$34="Media",'Mapa final'!$AA$34="Catastrófico"),CONCATENATE("R6C",'Mapa final'!$O$34),"")</f>
        <v/>
      </c>
      <c r="AM31" s="55" t="str">
        <f>IF(AND('Mapa final'!$Y$35="Media",'Mapa final'!$AA$35="Catastrófico"),CONCATENATE("R6C",'Mapa final'!$O$35),"")</f>
        <v/>
      </c>
      <c r="AN31" s="81"/>
      <c r="AO31" s="370"/>
      <c r="AP31" s="371"/>
      <c r="AQ31" s="371"/>
      <c r="AR31" s="371"/>
      <c r="AS31" s="371"/>
      <c r="AT31" s="372"/>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289"/>
      <c r="C32" s="289"/>
      <c r="D32" s="290"/>
      <c r="E32" s="330"/>
      <c r="F32" s="331"/>
      <c r="G32" s="331"/>
      <c r="H32" s="331"/>
      <c r="I32" s="332"/>
      <c r="J32" s="65" t="str">
        <f>IF(AND('Mapa final'!$Y$36="Media",'Mapa final'!$AA$36="Leve"),CONCATENATE("R7C",'Mapa final'!$O$36),"")</f>
        <v/>
      </c>
      <c r="K32" s="66" t="str">
        <f>IF(AND('Mapa final'!$Y$37="Media",'Mapa final'!$AA$37="Leve"),CONCATENATE("R7C",'Mapa final'!$O$37),"")</f>
        <v/>
      </c>
      <c r="L32" s="66" t="str">
        <f>IF(AND('Mapa final'!$Y$38="Media",'Mapa final'!$AA$38="Leve"),CONCATENATE("R7C",'Mapa final'!$O$38),"")</f>
        <v/>
      </c>
      <c r="M32" s="66" t="str">
        <f>IF(AND('Mapa final'!$Y$39="Media",'Mapa final'!$AA$39="Leve"),CONCATENATE("R7C",'Mapa final'!$O$39),"")</f>
        <v/>
      </c>
      <c r="N32" s="66" t="str">
        <f>IF(AND('Mapa final'!$Y$40="Media",'Mapa final'!$AA$40="Leve"),CONCATENATE("R7C",'Mapa final'!$O$40),"")</f>
        <v/>
      </c>
      <c r="O32" s="67" t="str">
        <f>IF(AND('Mapa final'!$Y$41="Media",'Mapa final'!$AA$41="Leve"),CONCATENATE("R7C",'Mapa final'!$O$41),"")</f>
        <v/>
      </c>
      <c r="P32" s="65" t="str">
        <f>IF(AND('Mapa final'!$Y$36="Media",'Mapa final'!$AA$36="Menor"),CONCATENATE("R7C",'Mapa final'!$O$36),"")</f>
        <v/>
      </c>
      <c r="Q32" s="66" t="str">
        <f>IF(AND('Mapa final'!$Y$37="Media",'Mapa final'!$AA$37="Menor"),CONCATENATE("R7C",'Mapa final'!$O$37),"")</f>
        <v/>
      </c>
      <c r="R32" s="66" t="str">
        <f>IF(AND('Mapa final'!$Y$38="Media",'Mapa final'!$AA$38="Menor"),CONCATENATE("R7C",'Mapa final'!$O$38),"")</f>
        <v/>
      </c>
      <c r="S32" s="66" t="str">
        <f>IF(AND('Mapa final'!$Y$39="Media",'Mapa final'!$AA$39="Menor"),CONCATENATE("R7C",'Mapa final'!$O$39),"")</f>
        <v/>
      </c>
      <c r="T32" s="66" t="str">
        <f>IF(AND('Mapa final'!$Y$40="Media",'Mapa final'!$AA$40="Menor"),CONCATENATE("R7C",'Mapa final'!$O$40),"")</f>
        <v/>
      </c>
      <c r="U32" s="67" t="str">
        <f>IF(AND('Mapa final'!$Y$41="Media",'Mapa final'!$AA$41="Menor"),CONCATENATE("R7C",'Mapa final'!$O$41),"")</f>
        <v/>
      </c>
      <c r="V32" s="65" t="str">
        <f>IF(AND('Mapa final'!$Y$36="Media",'Mapa final'!$AA$36="Moderado"),CONCATENATE("R7C",'Mapa final'!$O$36),"")</f>
        <v/>
      </c>
      <c r="W32" s="66" t="str">
        <f>IF(AND('Mapa final'!$Y$37="Media",'Mapa final'!$AA$37="Moderado"),CONCATENATE("R7C",'Mapa final'!$O$37),"")</f>
        <v/>
      </c>
      <c r="X32" s="66" t="str">
        <f>IF(AND('Mapa final'!$Y$38="Media",'Mapa final'!$AA$38="Moderado"),CONCATENATE("R7C",'Mapa final'!$O$38),"")</f>
        <v/>
      </c>
      <c r="Y32" s="66" t="str">
        <f>IF(AND('Mapa final'!$Y$39="Media",'Mapa final'!$AA$39="Moderado"),CONCATENATE("R7C",'Mapa final'!$O$39),"")</f>
        <v/>
      </c>
      <c r="Z32" s="66" t="str">
        <f>IF(AND('Mapa final'!$Y$40="Media",'Mapa final'!$AA$40="Moderado"),CONCATENATE("R7C",'Mapa final'!$O$40),"")</f>
        <v/>
      </c>
      <c r="AA32" s="67" t="str">
        <f>IF(AND('Mapa final'!$Y$41="Media",'Mapa final'!$AA$41="Moderado"),CONCATENATE("R7C",'Mapa final'!$O$41),"")</f>
        <v/>
      </c>
      <c r="AB32" s="50" t="str">
        <f>IF(AND('Mapa final'!$Y$36="Media",'Mapa final'!$AA$36="Mayor"),CONCATENATE("R7C",'Mapa final'!$O$36),"")</f>
        <v/>
      </c>
      <c r="AC32" s="51" t="str">
        <f>IF(AND('Mapa final'!$Y$37="Media",'Mapa final'!$AA$37="Mayor"),CONCATENATE("R7C",'Mapa final'!$O$37),"")</f>
        <v/>
      </c>
      <c r="AD32" s="51" t="str">
        <f>IF(AND('Mapa final'!$Y$38="Media",'Mapa final'!$AA$38="Mayor"),CONCATENATE("R7C",'Mapa final'!$O$38),"")</f>
        <v/>
      </c>
      <c r="AE32" s="51" t="str">
        <f>IF(AND('Mapa final'!$Y$39="Media",'Mapa final'!$AA$39="Mayor"),CONCATENATE("R7C",'Mapa final'!$O$39),"")</f>
        <v/>
      </c>
      <c r="AF32" s="51" t="str">
        <f>IF(AND('Mapa final'!$Y$40="Media",'Mapa final'!$AA$40="Mayor"),CONCATENATE("R7C",'Mapa final'!$O$40),"")</f>
        <v/>
      </c>
      <c r="AG32" s="52" t="str">
        <f>IF(AND('Mapa final'!$Y$41="Media",'Mapa final'!$AA$41="Mayor"),CONCATENATE("R7C",'Mapa final'!$O$41),"")</f>
        <v/>
      </c>
      <c r="AH32" s="53" t="str">
        <f>IF(AND('Mapa final'!$Y$36="Media",'Mapa final'!$AA$36="Catastrófico"),CONCATENATE("R7C",'Mapa final'!$O$36),"")</f>
        <v/>
      </c>
      <c r="AI32" s="54" t="str">
        <f>IF(AND('Mapa final'!$Y$37="Media",'Mapa final'!$AA$37="Catastrófico"),CONCATENATE("R7C",'Mapa final'!$O$37),"")</f>
        <v/>
      </c>
      <c r="AJ32" s="54" t="str">
        <f>IF(AND('Mapa final'!$Y$38="Media",'Mapa final'!$AA$38="Catastrófico"),CONCATENATE("R7C",'Mapa final'!$O$38),"")</f>
        <v/>
      </c>
      <c r="AK32" s="54" t="str">
        <f>IF(AND('Mapa final'!$Y$39="Media",'Mapa final'!$AA$39="Catastrófico"),CONCATENATE("R7C",'Mapa final'!$O$39),"")</f>
        <v/>
      </c>
      <c r="AL32" s="54" t="str">
        <f>IF(AND('Mapa final'!$Y$40="Media",'Mapa final'!$AA$40="Catastrófico"),CONCATENATE("R7C",'Mapa final'!$O$40),"")</f>
        <v/>
      </c>
      <c r="AM32" s="55" t="str">
        <f>IF(AND('Mapa final'!$Y$41="Media",'Mapa final'!$AA$41="Catastrófico"),CONCATENATE("R7C",'Mapa final'!$O$41),"")</f>
        <v/>
      </c>
      <c r="AN32" s="81"/>
      <c r="AO32" s="370"/>
      <c r="AP32" s="371"/>
      <c r="AQ32" s="371"/>
      <c r="AR32" s="371"/>
      <c r="AS32" s="371"/>
      <c r="AT32" s="372"/>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289"/>
      <c r="C33" s="289"/>
      <c r="D33" s="290"/>
      <c r="E33" s="330"/>
      <c r="F33" s="331"/>
      <c r="G33" s="331"/>
      <c r="H33" s="331"/>
      <c r="I33" s="332"/>
      <c r="J33" s="65" t="str">
        <f>IF(AND('Mapa final'!$Y$42="Media",'Mapa final'!$AA$42="Leve"),CONCATENATE("R8C",'Mapa final'!$O$42),"")</f>
        <v/>
      </c>
      <c r="K33" s="66" t="str">
        <f>IF(AND('Mapa final'!$Y$43="Media",'Mapa final'!$AA$43="Leve"),CONCATENATE("R8C",'Mapa final'!$O$43),"")</f>
        <v/>
      </c>
      <c r="L33" s="66" t="str">
        <f>IF(AND('Mapa final'!$Y$44="Media",'Mapa final'!$AA$44="Leve"),CONCATENATE("R8C",'Mapa final'!$O$44),"")</f>
        <v/>
      </c>
      <c r="M33" s="66" t="str">
        <f>IF(AND('Mapa final'!$Y$45="Media",'Mapa final'!$AA$45="Leve"),CONCATENATE("R8C",'Mapa final'!$O$45),"")</f>
        <v/>
      </c>
      <c r="N33" s="66" t="str">
        <f>IF(AND('Mapa final'!$Y$46="Media",'Mapa final'!$AA$46="Leve"),CONCATENATE("R8C",'Mapa final'!$O$46),"")</f>
        <v/>
      </c>
      <c r="O33" s="67" t="str">
        <f>IF(AND('Mapa final'!$Y$47="Media",'Mapa final'!$AA$47="Leve"),CONCATENATE("R8C",'Mapa final'!$O$47),"")</f>
        <v/>
      </c>
      <c r="P33" s="65" t="str">
        <f>IF(AND('Mapa final'!$Y$42="Media",'Mapa final'!$AA$42="Menor"),CONCATENATE("R8C",'Mapa final'!$O$42),"")</f>
        <v/>
      </c>
      <c r="Q33" s="66" t="str">
        <f>IF(AND('Mapa final'!$Y$43="Media",'Mapa final'!$AA$43="Menor"),CONCATENATE("R8C",'Mapa final'!$O$43),"")</f>
        <v/>
      </c>
      <c r="R33" s="66" t="str">
        <f>IF(AND('Mapa final'!$Y$44="Media",'Mapa final'!$AA$44="Menor"),CONCATENATE("R8C",'Mapa final'!$O$44),"")</f>
        <v/>
      </c>
      <c r="S33" s="66" t="str">
        <f>IF(AND('Mapa final'!$Y$45="Media",'Mapa final'!$AA$45="Menor"),CONCATENATE("R8C",'Mapa final'!$O$45),"")</f>
        <v/>
      </c>
      <c r="T33" s="66" t="str">
        <f>IF(AND('Mapa final'!$Y$46="Media",'Mapa final'!$AA$46="Menor"),CONCATENATE("R8C",'Mapa final'!$O$46),"")</f>
        <v/>
      </c>
      <c r="U33" s="67" t="str">
        <f>IF(AND('Mapa final'!$Y$47="Media",'Mapa final'!$AA$47="Menor"),CONCATENATE("R8C",'Mapa final'!$O$47),"")</f>
        <v/>
      </c>
      <c r="V33" s="65" t="str">
        <f>IF(AND('Mapa final'!$Y$42="Media",'Mapa final'!$AA$42="Moderado"),CONCATENATE("R8C",'Mapa final'!$O$42),"")</f>
        <v/>
      </c>
      <c r="W33" s="66" t="str">
        <f>IF(AND('Mapa final'!$Y$43="Media",'Mapa final'!$AA$43="Moderado"),CONCATENATE("R8C",'Mapa final'!$O$43),"")</f>
        <v/>
      </c>
      <c r="X33" s="66" t="str">
        <f>IF(AND('Mapa final'!$Y$44="Media",'Mapa final'!$AA$44="Moderado"),CONCATENATE("R8C",'Mapa final'!$O$44),"")</f>
        <v/>
      </c>
      <c r="Y33" s="66" t="str">
        <f>IF(AND('Mapa final'!$Y$45="Media",'Mapa final'!$AA$45="Moderado"),CONCATENATE("R8C",'Mapa final'!$O$45),"")</f>
        <v/>
      </c>
      <c r="Z33" s="66" t="str">
        <f>IF(AND('Mapa final'!$Y$46="Media",'Mapa final'!$AA$46="Moderado"),CONCATENATE("R8C",'Mapa final'!$O$46),"")</f>
        <v/>
      </c>
      <c r="AA33" s="67" t="str">
        <f>IF(AND('Mapa final'!$Y$47="Media",'Mapa final'!$AA$47="Moderado"),CONCATENATE("R8C",'Mapa final'!$O$47),"")</f>
        <v/>
      </c>
      <c r="AB33" s="50" t="str">
        <f>IF(AND('Mapa final'!$Y$42="Media",'Mapa final'!$AA$42="Mayor"),CONCATENATE("R8C",'Mapa final'!$O$42),"")</f>
        <v/>
      </c>
      <c r="AC33" s="51" t="str">
        <f>IF(AND('Mapa final'!$Y$43="Media",'Mapa final'!$AA$43="Mayor"),CONCATENATE("R8C",'Mapa final'!$O$43),"")</f>
        <v/>
      </c>
      <c r="AD33" s="51" t="str">
        <f>IF(AND('Mapa final'!$Y$44="Media",'Mapa final'!$AA$44="Mayor"),CONCATENATE("R8C",'Mapa final'!$O$44),"")</f>
        <v/>
      </c>
      <c r="AE33" s="51" t="str">
        <f>IF(AND('Mapa final'!$Y$45="Media",'Mapa final'!$AA$45="Mayor"),CONCATENATE("R8C",'Mapa final'!$O$45),"")</f>
        <v/>
      </c>
      <c r="AF33" s="51" t="str">
        <f>IF(AND('Mapa final'!$Y$46="Media",'Mapa final'!$AA$46="Mayor"),CONCATENATE("R8C",'Mapa final'!$O$46),"")</f>
        <v/>
      </c>
      <c r="AG33" s="52" t="str">
        <f>IF(AND('Mapa final'!$Y$47="Media",'Mapa final'!$AA$47="Mayor"),CONCATENATE("R8C",'Mapa final'!$O$47),"")</f>
        <v/>
      </c>
      <c r="AH33" s="53" t="str">
        <f>IF(AND('Mapa final'!$Y$42="Media",'Mapa final'!$AA$42="Catastrófico"),CONCATENATE("R8C",'Mapa final'!$O$42),"")</f>
        <v/>
      </c>
      <c r="AI33" s="54" t="str">
        <f>IF(AND('Mapa final'!$Y$43="Media",'Mapa final'!$AA$43="Catastrófico"),CONCATENATE("R8C",'Mapa final'!$O$43),"")</f>
        <v/>
      </c>
      <c r="AJ33" s="54" t="str">
        <f>IF(AND('Mapa final'!$Y$44="Media",'Mapa final'!$AA$44="Catastrófico"),CONCATENATE("R8C",'Mapa final'!$O$44),"")</f>
        <v/>
      </c>
      <c r="AK33" s="54" t="str">
        <f>IF(AND('Mapa final'!$Y$45="Media",'Mapa final'!$AA$45="Catastrófico"),CONCATENATE("R8C",'Mapa final'!$O$45),"")</f>
        <v/>
      </c>
      <c r="AL33" s="54" t="str">
        <f>IF(AND('Mapa final'!$Y$46="Media",'Mapa final'!$AA$46="Catastrófico"),CONCATENATE("R8C",'Mapa final'!$O$46),"")</f>
        <v/>
      </c>
      <c r="AM33" s="55" t="str">
        <f>IF(AND('Mapa final'!$Y$47="Media",'Mapa final'!$AA$47="Catastrófico"),CONCATENATE("R8C",'Mapa final'!$O$47),"")</f>
        <v/>
      </c>
      <c r="AN33" s="81"/>
      <c r="AO33" s="370"/>
      <c r="AP33" s="371"/>
      <c r="AQ33" s="371"/>
      <c r="AR33" s="371"/>
      <c r="AS33" s="371"/>
      <c r="AT33" s="372"/>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289"/>
      <c r="C34" s="289"/>
      <c r="D34" s="290"/>
      <c r="E34" s="330"/>
      <c r="F34" s="331"/>
      <c r="G34" s="331"/>
      <c r="H34" s="331"/>
      <c r="I34" s="332"/>
      <c r="J34" s="65" t="str">
        <f>IF(AND('Mapa final'!$Y$48="Media",'Mapa final'!$AA$48="Leve"),CONCATENATE("R9C",'Mapa final'!$O$48),"")</f>
        <v/>
      </c>
      <c r="K34" s="66" t="str">
        <f>IF(AND('Mapa final'!$Y$49="Media",'Mapa final'!$AA$49="Leve"),CONCATENATE("R9C",'Mapa final'!$O$49),"")</f>
        <v/>
      </c>
      <c r="L34" s="66" t="str">
        <f>IF(AND('Mapa final'!$Y$50="Media",'Mapa final'!$AA$50="Leve"),CONCATENATE("R9C",'Mapa final'!$O$50),"")</f>
        <v/>
      </c>
      <c r="M34" s="66" t="str">
        <f>IF(AND('Mapa final'!$Y$51="Media",'Mapa final'!$AA$51="Leve"),CONCATENATE("R9C",'Mapa final'!$O$51),"")</f>
        <v/>
      </c>
      <c r="N34" s="66" t="str">
        <f>IF(AND('Mapa final'!$Y$52="Media",'Mapa final'!$AA$52="Leve"),CONCATENATE("R9C",'Mapa final'!$O$52),"")</f>
        <v/>
      </c>
      <c r="O34" s="67" t="str">
        <f>IF(AND('Mapa final'!$Y$53="Media",'Mapa final'!$AA$53="Leve"),CONCATENATE("R9C",'Mapa final'!$O$53),"")</f>
        <v/>
      </c>
      <c r="P34" s="65" t="str">
        <f>IF(AND('Mapa final'!$Y$48="Media",'Mapa final'!$AA$48="Menor"),CONCATENATE("R9C",'Mapa final'!$O$48),"")</f>
        <v/>
      </c>
      <c r="Q34" s="66" t="str">
        <f>IF(AND('Mapa final'!$Y$49="Media",'Mapa final'!$AA$49="Menor"),CONCATENATE("R9C",'Mapa final'!$O$49),"")</f>
        <v/>
      </c>
      <c r="R34" s="66" t="str">
        <f>IF(AND('Mapa final'!$Y$50="Media",'Mapa final'!$AA$50="Menor"),CONCATENATE("R9C",'Mapa final'!$O$50),"")</f>
        <v/>
      </c>
      <c r="S34" s="66" t="str">
        <f>IF(AND('Mapa final'!$Y$51="Media",'Mapa final'!$AA$51="Menor"),CONCATENATE("R9C",'Mapa final'!$O$51),"")</f>
        <v/>
      </c>
      <c r="T34" s="66" t="str">
        <f>IF(AND('Mapa final'!$Y$52="Media",'Mapa final'!$AA$52="Menor"),CONCATENATE("R9C",'Mapa final'!$O$52),"")</f>
        <v/>
      </c>
      <c r="U34" s="67" t="str">
        <f>IF(AND('Mapa final'!$Y$53="Media",'Mapa final'!$AA$53="Menor"),CONCATENATE("R9C",'Mapa final'!$O$53),"")</f>
        <v/>
      </c>
      <c r="V34" s="65" t="str">
        <f>IF(AND('Mapa final'!$Y$48="Media",'Mapa final'!$AA$48="Moderado"),CONCATENATE("R9C",'Mapa final'!$O$48),"")</f>
        <v/>
      </c>
      <c r="W34" s="66" t="str">
        <f>IF(AND('Mapa final'!$Y$49="Media",'Mapa final'!$AA$49="Moderado"),CONCATENATE("R9C",'Mapa final'!$O$49),"")</f>
        <v/>
      </c>
      <c r="X34" s="66" t="str">
        <f>IF(AND('Mapa final'!$Y$50="Media",'Mapa final'!$AA$50="Moderado"),CONCATENATE("R9C",'Mapa final'!$O$50),"")</f>
        <v/>
      </c>
      <c r="Y34" s="66" t="str">
        <f>IF(AND('Mapa final'!$Y$51="Media",'Mapa final'!$AA$51="Moderado"),CONCATENATE("R9C",'Mapa final'!$O$51),"")</f>
        <v/>
      </c>
      <c r="Z34" s="66" t="str">
        <f>IF(AND('Mapa final'!$Y$52="Media",'Mapa final'!$AA$52="Moderado"),CONCATENATE("R9C",'Mapa final'!$O$52),"")</f>
        <v/>
      </c>
      <c r="AA34" s="67" t="str">
        <f>IF(AND('Mapa final'!$Y$53="Media",'Mapa final'!$AA$53="Moderado"),CONCATENATE("R9C",'Mapa final'!$O$53),"")</f>
        <v/>
      </c>
      <c r="AB34" s="50" t="str">
        <f>IF(AND('Mapa final'!$Y$48="Media",'Mapa final'!$AA$48="Mayor"),CONCATENATE("R9C",'Mapa final'!$O$48),"")</f>
        <v/>
      </c>
      <c r="AC34" s="51" t="str">
        <f>IF(AND('Mapa final'!$Y$49="Media",'Mapa final'!$AA$49="Mayor"),CONCATENATE("R9C",'Mapa final'!$O$49),"")</f>
        <v/>
      </c>
      <c r="AD34" s="51" t="str">
        <f>IF(AND('Mapa final'!$Y$50="Media",'Mapa final'!$AA$50="Mayor"),CONCATENATE("R9C",'Mapa final'!$O$50),"")</f>
        <v/>
      </c>
      <c r="AE34" s="51" t="str">
        <f>IF(AND('Mapa final'!$Y$51="Media",'Mapa final'!$AA$51="Mayor"),CONCATENATE("R9C",'Mapa final'!$O$51),"")</f>
        <v/>
      </c>
      <c r="AF34" s="51" t="str">
        <f>IF(AND('Mapa final'!$Y$52="Media",'Mapa final'!$AA$52="Mayor"),CONCATENATE("R9C",'Mapa final'!$O$52),"")</f>
        <v/>
      </c>
      <c r="AG34" s="52" t="str">
        <f>IF(AND('Mapa final'!$Y$53="Media",'Mapa final'!$AA$53="Mayor"),CONCATENATE("R9C",'Mapa final'!$O$53),"")</f>
        <v/>
      </c>
      <c r="AH34" s="53" t="str">
        <f>IF(AND('Mapa final'!$Y$48="Media",'Mapa final'!$AA$48="Catastrófico"),CONCATENATE("R9C",'Mapa final'!$O$48),"")</f>
        <v/>
      </c>
      <c r="AI34" s="54" t="str">
        <f>IF(AND('Mapa final'!$Y$49="Media",'Mapa final'!$AA$49="Catastrófico"),CONCATENATE("R9C",'Mapa final'!$O$49),"")</f>
        <v/>
      </c>
      <c r="AJ34" s="54" t="str">
        <f>IF(AND('Mapa final'!$Y$50="Media",'Mapa final'!$AA$50="Catastrófico"),CONCATENATE("R9C",'Mapa final'!$O$50),"")</f>
        <v/>
      </c>
      <c r="AK34" s="54" t="str">
        <f>IF(AND('Mapa final'!$Y$51="Media",'Mapa final'!$AA$51="Catastrófico"),CONCATENATE("R9C",'Mapa final'!$O$51),"")</f>
        <v/>
      </c>
      <c r="AL34" s="54" t="str">
        <f>IF(AND('Mapa final'!$Y$52="Media",'Mapa final'!$AA$52="Catastrófico"),CONCATENATE("R9C",'Mapa final'!$O$52),"")</f>
        <v/>
      </c>
      <c r="AM34" s="55" t="str">
        <f>IF(AND('Mapa final'!$Y$53="Media",'Mapa final'!$AA$53="Catastrófico"),CONCATENATE("R9C",'Mapa final'!$O$53),"")</f>
        <v/>
      </c>
      <c r="AN34" s="81"/>
      <c r="AO34" s="370"/>
      <c r="AP34" s="371"/>
      <c r="AQ34" s="371"/>
      <c r="AR34" s="371"/>
      <c r="AS34" s="371"/>
      <c r="AT34" s="372"/>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289"/>
      <c r="C35" s="289"/>
      <c r="D35" s="290"/>
      <c r="E35" s="333"/>
      <c r="F35" s="334"/>
      <c r="G35" s="334"/>
      <c r="H35" s="334"/>
      <c r="I35" s="335"/>
      <c r="J35" s="65" t="str">
        <f>IF(AND('Mapa final'!$Y$54="Media",'Mapa final'!$AA$54="Leve"),CONCATENATE("R10C",'Mapa final'!$O$54),"")</f>
        <v/>
      </c>
      <c r="K35" s="66" t="str">
        <f>IF(AND('Mapa final'!$Y$55="Media",'Mapa final'!$AA$55="Leve"),CONCATENATE("R10C",'Mapa final'!$O$55),"")</f>
        <v/>
      </c>
      <c r="L35" s="66" t="str">
        <f>IF(AND('Mapa final'!$Y$56="Media",'Mapa final'!$AA$56="Leve"),CONCATENATE("R10C",'Mapa final'!$O$56),"")</f>
        <v/>
      </c>
      <c r="M35" s="66" t="str">
        <f>IF(AND('Mapa final'!$Y$57="Media",'Mapa final'!$AA$57="Leve"),CONCATENATE("R10C",'Mapa final'!$O$57),"")</f>
        <v/>
      </c>
      <c r="N35" s="66" t="str">
        <f>IF(AND('Mapa final'!$Y$58="Media",'Mapa final'!$AA$58="Leve"),CONCATENATE("R10C",'Mapa final'!$O$58),"")</f>
        <v/>
      </c>
      <c r="O35" s="67" t="str">
        <f>IF(AND('Mapa final'!$Y$59="Media",'Mapa final'!$AA$59="Leve"),CONCATENATE("R10C",'Mapa final'!$O$59),"")</f>
        <v/>
      </c>
      <c r="P35" s="65" t="str">
        <f>IF(AND('Mapa final'!$Y$54="Media",'Mapa final'!$AA$54="Menor"),CONCATENATE("R10C",'Mapa final'!$O$54),"")</f>
        <v/>
      </c>
      <c r="Q35" s="66" t="str">
        <f>IF(AND('Mapa final'!$Y$55="Media",'Mapa final'!$AA$55="Menor"),CONCATENATE("R10C",'Mapa final'!$O$55),"")</f>
        <v/>
      </c>
      <c r="R35" s="66" t="str">
        <f>IF(AND('Mapa final'!$Y$56="Media",'Mapa final'!$AA$56="Menor"),CONCATENATE("R10C",'Mapa final'!$O$56),"")</f>
        <v/>
      </c>
      <c r="S35" s="66" t="str">
        <f>IF(AND('Mapa final'!$Y$57="Media",'Mapa final'!$AA$57="Menor"),CONCATENATE("R10C",'Mapa final'!$O$57),"")</f>
        <v/>
      </c>
      <c r="T35" s="66" t="str">
        <f>IF(AND('Mapa final'!$Y$58="Media",'Mapa final'!$AA$58="Menor"),CONCATENATE("R10C",'Mapa final'!$O$58),"")</f>
        <v/>
      </c>
      <c r="U35" s="67" t="str">
        <f>IF(AND('Mapa final'!$Y$59="Media",'Mapa final'!$AA$59="Menor"),CONCATENATE("R10C",'Mapa final'!$O$59),"")</f>
        <v/>
      </c>
      <c r="V35" s="65" t="str">
        <f>IF(AND('Mapa final'!$Y$54="Media",'Mapa final'!$AA$54="Moderado"),CONCATENATE("R10C",'Mapa final'!$O$54),"")</f>
        <v/>
      </c>
      <c r="W35" s="66" t="str">
        <f>IF(AND('Mapa final'!$Y$55="Media",'Mapa final'!$AA$55="Moderado"),CONCATENATE("R10C",'Mapa final'!$O$55),"")</f>
        <v/>
      </c>
      <c r="X35" s="66" t="str">
        <f>IF(AND('Mapa final'!$Y$56="Media",'Mapa final'!$AA$56="Moderado"),CONCATENATE("R10C",'Mapa final'!$O$56),"")</f>
        <v/>
      </c>
      <c r="Y35" s="66" t="str">
        <f>IF(AND('Mapa final'!$Y$57="Media",'Mapa final'!$AA$57="Moderado"),CONCATENATE("R10C",'Mapa final'!$O$57),"")</f>
        <v/>
      </c>
      <c r="Z35" s="66" t="str">
        <f>IF(AND('Mapa final'!$Y$58="Media",'Mapa final'!$AA$58="Moderado"),CONCATENATE("R10C",'Mapa final'!$O$58),"")</f>
        <v/>
      </c>
      <c r="AA35" s="67" t="str">
        <f>IF(AND('Mapa final'!$Y$59="Media",'Mapa final'!$AA$59="Moderado"),CONCATENATE("R10C",'Mapa final'!$O$59),"")</f>
        <v/>
      </c>
      <c r="AB35" s="56" t="str">
        <f>IF(AND('Mapa final'!$Y$54="Media",'Mapa final'!$AA$54="Mayor"),CONCATENATE("R10C",'Mapa final'!$O$54),"")</f>
        <v/>
      </c>
      <c r="AC35" s="57" t="str">
        <f>IF(AND('Mapa final'!$Y$55="Media",'Mapa final'!$AA$55="Mayor"),CONCATENATE("R10C",'Mapa final'!$O$55),"")</f>
        <v/>
      </c>
      <c r="AD35" s="57" t="str">
        <f>IF(AND('Mapa final'!$Y$56="Media",'Mapa final'!$AA$56="Mayor"),CONCATENATE("R10C",'Mapa final'!$O$56),"")</f>
        <v/>
      </c>
      <c r="AE35" s="57" t="str">
        <f>IF(AND('Mapa final'!$Y$57="Media",'Mapa final'!$AA$57="Mayor"),CONCATENATE("R10C",'Mapa final'!$O$57),"")</f>
        <v/>
      </c>
      <c r="AF35" s="57" t="str">
        <f>IF(AND('Mapa final'!$Y$58="Media",'Mapa final'!$AA$58="Mayor"),CONCATENATE("R10C",'Mapa final'!$O$58),"")</f>
        <v/>
      </c>
      <c r="AG35" s="58" t="str">
        <f>IF(AND('Mapa final'!$Y$59="Media",'Mapa final'!$AA$59="Mayor"),CONCATENATE("R10C",'Mapa final'!$O$59),"")</f>
        <v/>
      </c>
      <c r="AH35" s="59" t="str">
        <f>IF(AND('Mapa final'!$Y$54="Media",'Mapa final'!$AA$54="Catastrófico"),CONCATENATE("R10C",'Mapa final'!$O$54),"")</f>
        <v/>
      </c>
      <c r="AI35" s="60" t="str">
        <f>IF(AND('Mapa final'!$Y$55="Media",'Mapa final'!$AA$55="Catastrófico"),CONCATENATE("R10C",'Mapa final'!$O$55),"")</f>
        <v/>
      </c>
      <c r="AJ35" s="60" t="str">
        <f>IF(AND('Mapa final'!$Y$56="Media",'Mapa final'!$AA$56="Catastrófico"),CONCATENATE("R10C",'Mapa final'!$O$56),"")</f>
        <v/>
      </c>
      <c r="AK35" s="60" t="str">
        <f>IF(AND('Mapa final'!$Y$57="Media",'Mapa final'!$AA$57="Catastrófico"),CONCATENATE("R10C",'Mapa final'!$O$57),"")</f>
        <v/>
      </c>
      <c r="AL35" s="60" t="str">
        <f>IF(AND('Mapa final'!$Y$58="Media",'Mapa final'!$AA$58="Catastrófico"),CONCATENATE("R10C",'Mapa final'!$O$58),"")</f>
        <v/>
      </c>
      <c r="AM35" s="61" t="str">
        <f>IF(AND('Mapa final'!$Y$59="Media",'Mapa final'!$AA$59="Catastrófico"),CONCATENATE("R10C",'Mapa final'!$O$59),"")</f>
        <v/>
      </c>
      <c r="AN35" s="81"/>
      <c r="AO35" s="373"/>
      <c r="AP35" s="374"/>
      <c r="AQ35" s="374"/>
      <c r="AR35" s="374"/>
      <c r="AS35" s="374"/>
      <c r="AT35" s="375"/>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289"/>
      <c r="C36" s="289"/>
      <c r="D36" s="290"/>
      <c r="E36" s="327" t="s">
        <v>114</v>
      </c>
      <c r="F36" s="328"/>
      <c r="G36" s="328"/>
      <c r="H36" s="328"/>
      <c r="I36" s="328"/>
      <c r="J36" s="71" t="str">
        <f>IF(AND('Mapa final'!$Y$10="Baja",'Mapa final'!$AA$10="Leve"),CONCATENATE("R1C",'Mapa final'!$O$10),"")</f>
        <v/>
      </c>
      <c r="K36" s="72" t="str">
        <f>IF(AND('Mapa final'!$Y$11="Baja",'Mapa final'!$AA$11="Leve"),CONCATENATE("R1C",'Mapa final'!$O$11),"")</f>
        <v/>
      </c>
      <c r="L36" s="72" t="str">
        <f>IF(AND('Mapa final'!$Y$12="Baja",'Mapa final'!$AA$12="Leve"),CONCATENATE("R1C",'Mapa final'!$O$12),"")</f>
        <v/>
      </c>
      <c r="M36" s="72" t="str">
        <f>IF(AND('Mapa final'!$Y$13="Baja",'Mapa final'!$AA$13="Leve"),CONCATENATE("R1C",'Mapa final'!$O$13),"")</f>
        <v/>
      </c>
      <c r="N36" s="72" t="e">
        <f>IF(AND('Mapa final'!#REF!="Baja",'Mapa final'!#REF!="Leve"),CONCATENATE("R1C",'Mapa final'!#REF!),"")</f>
        <v>#REF!</v>
      </c>
      <c r="O36" s="73" t="e">
        <f>IF(AND('Mapa final'!#REF!="Baja",'Mapa final'!#REF!="Leve"),CONCATENATE("R1C",'Mapa final'!#REF!),"")</f>
        <v>#REF!</v>
      </c>
      <c r="P36" s="62" t="str">
        <f>IF(AND('Mapa final'!$Y$10="Baja",'Mapa final'!$AA$10="Menor"),CONCATENATE("R1C",'Mapa final'!$O$10),"")</f>
        <v/>
      </c>
      <c r="Q36" s="63" t="str">
        <f>IF(AND('Mapa final'!$Y$11="Baja",'Mapa final'!$AA$11="Menor"),CONCATENATE("R1C",'Mapa final'!$O$11),"")</f>
        <v/>
      </c>
      <c r="R36" s="63" t="str">
        <f>IF(AND('Mapa final'!$Y$12="Baja",'Mapa final'!$AA$12="Menor"),CONCATENATE("R1C",'Mapa final'!$O$12),"")</f>
        <v/>
      </c>
      <c r="S36" s="63" t="str">
        <f>IF(AND('Mapa final'!$Y$13="Baja",'Mapa final'!$AA$13="Menor"),CONCATENATE("R1C",'Mapa final'!$O$13),"")</f>
        <v/>
      </c>
      <c r="T36" s="63" t="e">
        <f>IF(AND('Mapa final'!#REF!="Baja",'Mapa final'!#REF!="Menor"),CONCATENATE("R1C",'Mapa final'!#REF!),"")</f>
        <v>#REF!</v>
      </c>
      <c r="U36" s="64" t="e">
        <f>IF(AND('Mapa final'!#REF!="Baja",'Mapa final'!#REF!="Menor"),CONCATENATE("R1C",'Mapa final'!#REF!),"")</f>
        <v>#REF!</v>
      </c>
      <c r="V36" s="62" t="str">
        <f>IF(AND('Mapa final'!$Y$10="Baja",'Mapa final'!$AA$10="Moderado"),CONCATENATE("R1C",'Mapa final'!$O$10),"")</f>
        <v/>
      </c>
      <c r="W36" s="63" t="str">
        <f>IF(AND('Mapa final'!$Y$11="Baja",'Mapa final'!$AA$11="Moderado"),CONCATENATE("R1C",'Mapa final'!$O$11),"")</f>
        <v>R1C2</v>
      </c>
      <c r="X36" s="63" t="str">
        <f>IF(AND('Mapa final'!$Y$12="Baja",'Mapa final'!$AA$12="Moderado"),CONCATENATE("R1C",'Mapa final'!$O$12),"")</f>
        <v>R1C3</v>
      </c>
      <c r="Y36" s="63" t="str">
        <f>IF(AND('Mapa final'!$Y$13="Baja",'Mapa final'!$AA$13="Moderado"),CONCATENATE("R1C",'Mapa final'!$O$13),"")</f>
        <v/>
      </c>
      <c r="Z36" s="63" t="e">
        <f>IF(AND('Mapa final'!#REF!="Baja",'Mapa final'!#REF!="Moderado"),CONCATENATE("R1C",'Mapa final'!#REF!),"")</f>
        <v>#REF!</v>
      </c>
      <c r="AA36" s="64" t="e">
        <f>IF(AND('Mapa final'!#REF!="Baja",'Mapa final'!#REF!="Moderado"),CONCATENATE("R1C",'Mapa final'!#REF!),"")</f>
        <v>#REF!</v>
      </c>
      <c r="AB36" s="44" t="str">
        <f>IF(AND('Mapa final'!$Y$10="Baja",'Mapa final'!$AA$10="Mayor"),CONCATENATE("R1C",'Mapa final'!$O$10),"")</f>
        <v/>
      </c>
      <c r="AC36" s="45" t="str">
        <f>IF(AND('Mapa final'!$Y$11="Baja",'Mapa final'!$AA$11="Mayor"),CONCATENATE("R1C",'Mapa final'!$O$11),"")</f>
        <v/>
      </c>
      <c r="AD36" s="45" t="str">
        <f>IF(AND('Mapa final'!$Y$12="Baja",'Mapa final'!$AA$12="Mayor"),CONCATENATE("R1C",'Mapa final'!$O$12),"")</f>
        <v/>
      </c>
      <c r="AE36" s="45" t="str">
        <f>IF(AND('Mapa final'!$Y$13="Baja",'Mapa final'!$AA$13="Mayor"),CONCATENATE("R1C",'Mapa final'!$O$13),"")</f>
        <v/>
      </c>
      <c r="AF36" s="45" t="e">
        <f>IF(AND('Mapa final'!#REF!="Baja",'Mapa final'!#REF!="Mayor"),CONCATENATE("R1C",'Mapa final'!#REF!),"")</f>
        <v>#REF!</v>
      </c>
      <c r="AG36" s="46" t="e">
        <f>IF(AND('Mapa final'!#REF!="Baja",'Mapa final'!#REF!="Mayor"),CONCATENATE("R1C",'Mapa final'!#REF!),"")</f>
        <v>#REF!</v>
      </c>
      <c r="AH36" s="47" t="str">
        <f>IF(AND('Mapa final'!$Y$10="Baja",'Mapa final'!$AA$10="Catastrófico"),CONCATENATE("R1C",'Mapa final'!$O$10),"")</f>
        <v/>
      </c>
      <c r="AI36" s="48" t="str">
        <f>IF(AND('Mapa final'!$Y$11="Baja",'Mapa final'!$AA$11="Catastrófico"),CONCATENATE("R1C",'Mapa final'!$O$11),"")</f>
        <v/>
      </c>
      <c r="AJ36" s="48" t="str">
        <f>IF(AND('Mapa final'!$Y$12="Baja",'Mapa final'!$AA$12="Catastrófico"),CONCATENATE("R1C",'Mapa final'!$O$12),"")</f>
        <v/>
      </c>
      <c r="AK36" s="48" t="str">
        <f>IF(AND('Mapa final'!$Y$13="Baja",'Mapa final'!$AA$13="Catastrófico"),CONCATENATE("R1C",'Mapa final'!$O$13),"")</f>
        <v/>
      </c>
      <c r="AL36" s="48" t="e">
        <f>IF(AND('Mapa final'!#REF!="Baja",'Mapa final'!#REF!="Catastrófico"),CONCATENATE("R1C",'Mapa final'!#REF!),"")</f>
        <v>#REF!</v>
      </c>
      <c r="AM36" s="49" t="e">
        <f>IF(AND('Mapa final'!#REF!="Baja",'Mapa final'!#REF!="Catastrófico"),CONCATENATE("R1C",'Mapa final'!#REF!),"")</f>
        <v>#REF!</v>
      </c>
      <c r="AN36" s="81"/>
      <c r="AO36" s="358" t="s">
        <v>82</v>
      </c>
      <c r="AP36" s="359"/>
      <c r="AQ36" s="359"/>
      <c r="AR36" s="359"/>
      <c r="AS36" s="359"/>
      <c r="AT36" s="360"/>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289"/>
      <c r="C37" s="289"/>
      <c r="D37" s="290"/>
      <c r="E37" s="346"/>
      <c r="F37" s="331"/>
      <c r="G37" s="331"/>
      <c r="H37" s="331"/>
      <c r="I37" s="331"/>
      <c r="J37" s="74" t="str">
        <f>IF(AND('Mapa final'!$Y$14="Baja",'Mapa final'!$AA$14="Leve"),CONCATENATE("R2C",'Mapa final'!$O$14),"")</f>
        <v/>
      </c>
      <c r="K37" s="75" t="str">
        <f>IF(AND('Mapa final'!$Y$15="Baja",'Mapa final'!$AA$15="Leve"),CONCATENATE("R2C",'Mapa final'!$O$15),"")</f>
        <v/>
      </c>
      <c r="L37" s="75" t="str">
        <f>IF(AND('Mapa final'!$Y$16="Baja",'Mapa final'!$AA$16="Leve"),CONCATENATE("R2C",'Mapa final'!$O$16),"")</f>
        <v/>
      </c>
      <c r="M37" s="75" t="str">
        <f>IF(AND('Mapa final'!$Y$17="Baja",'Mapa final'!$AA$17="Leve"),CONCATENATE("R2C",'Mapa final'!$O$17),"")</f>
        <v/>
      </c>
      <c r="N37" s="75" t="e">
        <f>IF(AND('Mapa final'!#REF!="Baja",'Mapa final'!#REF!="Leve"),CONCATENATE("R2C",'Mapa final'!#REF!),"")</f>
        <v>#REF!</v>
      </c>
      <c r="O37" s="76" t="e">
        <f>IF(AND('Mapa final'!#REF!="Baja",'Mapa final'!#REF!="Leve"),CONCATENATE("R2C",'Mapa final'!#REF!),"")</f>
        <v>#REF!</v>
      </c>
      <c r="P37" s="65" t="str">
        <f>IF(AND('Mapa final'!$Y$14="Baja",'Mapa final'!$AA$14="Menor"),CONCATENATE("R2C",'Mapa final'!$O$14),"")</f>
        <v/>
      </c>
      <c r="Q37" s="66" t="str">
        <f>IF(AND('Mapa final'!$Y$15="Baja",'Mapa final'!$AA$15="Menor"),CONCATENATE("R2C",'Mapa final'!$O$15),"")</f>
        <v/>
      </c>
      <c r="R37" s="66" t="str">
        <f>IF(AND('Mapa final'!$Y$16="Baja",'Mapa final'!$AA$16="Menor"),CONCATENATE("R2C",'Mapa final'!$O$16),"")</f>
        <v/>
      </c>
      <c r="S37" s="66" t="str">
        <f>IF(AND('Mapa final'!$Y$17="Baja",'Mapa final'!$AA$17="Menor"),CONCATENATE("R2C",'Mapa final'!$O$17),"")</f>
        <v/>
      </c>
      <c r="T37" s="66" t="e">
        <f>IF(AND('Mapa final'!#REF!="Baja",'Mapa final'!#REF!="Menor"),CONCATENATE("R2C",'Mapa final'!#REF!),"")</f>
        <v>#REF!</v>
      </c>
      <c r="U37" s="67" t="e">
        <f>IF(AND('Mapa final'!#REF!="Baja",'Mapa final'!#REF!="Menor"),CONCATENATE("R2C",'Mapa final'!#REF!),"")</f>
        <v>#REF!</v>
      </c>
      <c r="V37" s="65" t="str">
        <f>IF(AND('Mapa final'!$Y$14="Baja",'Mapa final'!$AA$14="Moderado"),CONCATENATE("R2C",'Mapa final'!$O$14),"")</f>
        <v/>
      </c>
      <c r="W37" s="66" t="str">
        <f>IF(AND('Mapa final'!$Y$15="Baja",'Mapa final'!$AA$15="Moderado"),CONCATENATE("R2C",'Mapa final'!$O$15),"")</f>
        <v/>
      </c>
      <c r="X37" s="66" t="str">
        <f>IF(AND('Mapa final'!$Y$16="Baja",'Mapa final'!$AA$16="Moderado"),CONCATENATE("R2C",'Mapa final'!$O$16),"")</f>
        <v/>
      </c>
      <c r="Y37" s="66" t="str">
        <f>IF(AND('Mapa final'!$Y$17="Baja",'Mapa final'!$AA$17="Moderado"),CONCATENATE("R2C",'Mapa final'!$O$17),"")</f>
        <v/>
      </c>
      <c r="Z37" s="66" t="e">
        <f>IF(AND('Mapa final'!#REF!="Baja",'Mapa final'!#REF!="Moderado"),CONCATENATE("R2C",'Mapa final'!#REF!),"")</f>
        <v>#REF!</v>
      </c>
      <c r="AA37" s="67" t="e">
        <f>IF(AND('Mapa final'!#REF!="Baja",'Mapa final'!#REF!="Moderado"),CONCATENATE("R2C",'Mapa final'!#REF!),"")</f>
        <v>#REF!</v>
      </c>
      <c r="AB37" s="50" t="str">
        <f>IF(AND('Mapa final'!$Y$14="Baja",'Mapa final'!$AA$14="Mayor"),CONCATENATE("R2C",'Mapa final'!$O$14),"")</f>
        <v/>
      </c>
      <c r="AC37" s="51" t="str">
        <f>IF(AND('Mapa final'!$Y$15="Baja",'Mapa final'!$AA$15="Mayor"),CONCATENATE("R2C",'Mapa final'!$O$15),"")</f>
        <v/>
      </c>
      <c r="AD37" s="51" t="str">
        <f>IF(AND('Mapa final'!$Y$16="Baja",'Mapa final'!$AA$16="Mayor"),CONCATENATE("R2C",'Mapa final'!$O$16),"")</f>
        <v/>
      </c>
      <c r="AE37" s="51" t="str">
        <f>IF(AND('Mapa final'!$Y$17="Baja",'Mapa final'!$AA$17="Mayor"),CONCATENATE("R2C",'Mapa final'!$O$17),"")</f>
        <v/>
      </c>
      <c r="AF37" s="51" t="e">
        <f>IF(AND('Mapa final'!#REF!="Baja",'Mapa final'!#REF!="Mayor"),CONCATENATE("R2C",'Mapa final'!#REF!),"")</f>
        <v>#REF!</v>
      </c>
      <c r="AG37" s="52" t="e">
        <f>IF(AND('Mapa final'!#REF!="Baja",'Mapa final'!#REF!="Mayor"),CONCATENATE("R2C",'Mapa final'!#REF!),"")</f>
        <v>#REF!</v>
      </c>
      <c r="AH37" s="53" t="str">
        <f>IF(AND('Mapa final'!$Y$14="Baja",'Mapa final'!$AA$14="Catastrófico"),CONCATENATE("R2C",'Mapa final'!$O$14),"")</f>
        <v/>
      </c>
      <c r="AI37" s="54" t="str">
        <f>IF(AND('Mapa final'!$Y$15="Baja",'Mapa final'!$AA$15="Catastrófico"),CONCATENATE("R2C",'Mapa final'!$O$15),"")</f>
        <v/>
      </c>
      <c r="AJ37" s="54" t="str">
        <f>IF(AND('Mapa final'!$Y$16="Baja",'Mapa final'!$AA$16="Catastrófico"),CONCATENATE("R2C",'Mapa final'!$O$16),"")</f>
        <v/>
      </c>
      <c r="AK37" s="54" t="str">
        <f>IF(AND('Mapa final'!$Y$17="Baja",'Mapa final'!$AA$17="Catastrófico"),CONCATENATE("R2C",'Mapa final'!$O$17),"")</f>
        <v/>
      </c>
      <c r="AL37" s="54" t="e">
        <f>IF(AND('Mapa final'!#REF!="Baja",'Mapa final'!#REF!="Catastrófico"),CONCATENATE("R2C",'Mapa final'!#REF!),"")</f>
        <v>#REF!</v>
      </c>
      <c r="AM37" s="55" t="e">
        <f>IF(AND('Mapa final'!#REF!="Baja",'Mapa final'!#REF!="Catastrófico"),CONCATENATE("R2C",'Mapa final'!#REF!),"")</f>
        <v>#REF!</v>
      </c>
      <c r="AN37" s="81"/>
      <c r="AO37" s="361"/>
      <c r="AP37" s="362"/>
      <c r="AQ37" s="362"/>
      <c r="AR37" s="362"/>
      <c r="AS37" s="362"/>
      <c r="AT37" s="363"/>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289"/>
      <c r="C38" s="289"/>
      <c r="D38" s="290"/>
      <c r="E38" s="330"/>
      <c r="F38" s="331"/>
      <c r="G38" s="331"/>
      <c r="H38" s="331"/>
      <c r="I38" s="331"/>
      <c r="J38" s="74" t="str">
        <f>IF(AND('Mapa final'!$Y$18="Baja",'Mapa final'!$AA$18="Leve"),CONCATENATE("R3C",'Mapa final'!$O$18),"")</f>
        <v/>
      </c>
      <c r="K38" s="75" t="str">
        <f>IF(AND('Mapa final'!$Y$19="Baja",'Mapa final'!$AA$19="Leve"),CONCATENATE("R3C",'Mapa final'!$O$19),"")</f>
        <v/>
      </c>
      <c r="L38" s="75" t="e">
        <f>IF(AND('Mapa final'!#REF!="Baja",'Mapa final'!#REF!="Leve"),CONCATENATE("R3C",'Mapa final'!#REF!),"")</f>
        <v>#REF!</v>
      </c>
      <c r="M38" s="75" t="e">
        <f>IF(AND('Mapa final'!#REF!="Baja",'Mapa final'!#REF!="Leve"),CONCATENATE("R3C",'Mapa final'!#REF!),"")</f>
        <v>#REF!</v>
      </c>
      <c r="N38" s="75" t="e">
        <f>IF(AND('Mapa final'!#REF!="Baja",'Mapa final'!#REF!="Leve"),CONCATENATE("R3C",'Mapa final'!#REF!),"")</f>
        <v>#REF!</v>
      </c>
      <c r="O38" s="76" t="e">
        <f>IF(AND('Mapa final'!#REF!="Baja",'Mapa final'!#REF!="Leve"),CONCATENATE("R3C",'Mapa final'!#REF!),"")</f>
        <v>#REF!</v>
      </c>
      <c r="P38" s="65" t="str">
        <f>IF(AND('Mapa final'!$Y$18="Baja",'Mapa final'!$AA$18="Menor"),CONCATENATE("R3C",'Mapa final'!$O$18),"")</f>
        <v/>
      </c>
      <c r="Q38" s="66" t="str">
        <f>IF(AND('Mapa final'!$Y$19="Baja",'Mapa final'!$AA$19="Menor"),CONCATENATE("R3C",'Mapa final'!$O$19),"")</f>
        <v/>
      </c>
      <c r="R38" s="66" t="e">
        <f>IF(AND('Mapa final'!#REF!="Baja",'Mapa final'!#REF!="Menor"),CONCATENATE("R3C",'Mapa final'!#REF!),"")</f>
        <v>#REF!</v>
      </c>
      <c r="S38" s="66" t="e">
        <f>IF(AND('Mapa final'!#REF!="Baja",'Mapa final'!#REF!="Menor"),CONCATENATE("R3C",'Mapa final'!#REF!),"")</f>
        <v>#REF!</v>
      </c>
      <c r="T38" s="66" t="e">
        <f>IF(AND('Mapa final'!#REF!="Baja",'Mapa final'!#REF!="Menor"),CONCATENATE("R3C",'Mapa final'!#REF!),"")</f>
        <v>#REF!</v>
      </c>
      <c r="U38" s="67" t="e">
        <f>IF(AND('Mapa final'!#REF!="Baja",'Mapa final'!#REF!="Menor"),CONCATENATE("R3C",'Mapa final'!#REF!),"")</f>
        <v>#REF!</v>
      </c>
      <c r="V38" s="65" t="str">
        <f>IF(AND('Mapa final'!$Y$18="Baja",'Mapa final'!$AA$18="Moderado"),CONCATENATE("R3C",'Mapa final'!$O$18),"")</f>
        <v/>
      </c>
      <c r="W38" s="66" t="str">
        <f>IF(AND('Mapa final'!$Y$19="Baja",'Mapa final'!$AA$19="Moderado"),CONCATENATE("R3C",'Mapa final'!$O$19),"")</f>
        <v>R3C2</v>
      </c>
      <c r="X38" s="66" t="e">
        <f>IF(AND('Mapa final'!#REF!="Baja",'Mapa final'!#REF!="Moderado"),CONCATENATE("R3C",'Mapa final'!#REF!),"")</f>
        <v>#REF!</v>
      </c>
      <c r="Y38" s="66" t="e">
        <f>IF(AND('Mapa final'!#REF!="Baja",'Mapa final'!#REF!="Moderado"),CONCATENATE("R3C",'Mapa final'!#REF!),"")</f>
        <v>#REF!</v>
      </c>
      <c r="Z38" s="66" t="e">
        <f>IF(AND('Mapa final'!#REF!="Baja",'Mapa final'!#REF!="Moderado"),CONCATENATE("R3C",'Mapa final'!#REF!),"")</f>
        <v>#REF!</v>
      </c>
      <c r="AA38" s="67" t="e">
        <f>IF(AND('Mapa final'!#REF!="Baja",'Mapa final'!#REF!="Moderado"),CONCATENATE("R3C",'Mapa final'!#REF!),"")</f>
        <v>#REF!</v>
      </c>
      <c r="AB38" s="50" t="str">
        <f>IF(AND('Mapa final'!$Y$18="Baja",'Mapa final'!$AA$18="Mayor"),CONCATENATE("R3C",'Mapa final'!$O$18),"")</f>
        <v/>
      </c>
      <c r="AC38" s="51" t="str">
        <f>IF(AND('Mapa final'!$Y$19="Baja",'Mapa final'!$AA$19="Mayor"),CONCATENATE("R3C",'Mapa final'!$O$19),"")</f>
        <v/>
      </c>
      <c r="AD38" s="51" t="e">
        <f>IF(AND('Mapa final'!#REF!="Baja",'Mapa final'!#REF!="Mayor"),CONCATENATE("R3C",'Mapa final'!#REF!),"")</f>
        <v>#REF!</v>
      </c>
      <c r="AE38" s="51" t="e">
        <f>IF(AND('Mapa final'!#REF!="Baja",'Mapa final'!#REF!="Mayor"),CONCATENATE("R3C",'Mapa final'!#REF!),"")</f>
        <v>#REF!</v>
      </c>
      <c r="AF38" s="51" t="e">
        <f>IF(AND('Mapa final'!#REF!="Baja",'Mapa final'!#REF!="Mayor"),CONCATENATE("R3C",'Mapa final'!#REF!),"")</f>
        <v>#REF!</v>
      </c>
      <c r="AG38" s="52" t="e">
        <f>IF(AND('Mapa final'!#REF!="Baja",'Mapa final'!#REF!="Mayor"),CONCATENATE("R3C",'Mapa final'!#REF!),"")</f>
        <v>#REF!</v>
      </c>
      <c r="AH38" s="53" t="str">
        <f>IF(AND('Mapa final'!$Y$18="Baja",'Mapa final'!$AA$18="Catastrófico"),CONCATENATE("R3C",'Mapa final'!$O$18),"")</f>
        <v/>
      </c>
      <c r="AI38" s="54" t="str">
        <f>IF(AND('Mapa final'!$Y$19="Baja",'Mapa final'!$AA$19="Catastrófico"),CONCATENATE("R3C",'Mapa final'!$O$19),"")</f>
        <v/>
      </c>
      <c r="AJ38" s="54" t="e">
        <f>IF(AND('Mapa final'!#REF!="Baja",'Mapa final'!#REF!="Catastrófico"),CONCATENATE("R3C",'Mapa final'!#REF!),"")</f>
        <v>#REF!</v>
      </c>
      <c r="AK38" s="54" t="e">
        <f>IF(AND('Mapa final'!#REF!="Baja",'Mapa final'!#REF!="Catastrófico"),CONCATENATE("R3C",'Mapa final'!#REF!),"")</f>
        <v>#REF!</v>
      </c>
      <c r="AL38" s="54" t="e">
        <f>IF(AND('Mapa final'!#REF!="Baja",'Mapa final'!#REF!="Catastrófico"),CONCATENATE("R3C",'Mapa final'!#REF!),"")</f>
        <v>#REF!</v>
      </c>
      <c r="AM38" s="55" t="e">
        <f>IF(AND('Mapa final'!#REF!="Baja",'Mapa final'!#REF!="Catastrófico"),CONCATENATE("R3C",'Mapa final'!#REF!),"")</f>
        <v>#REF!</v>
      </c>
      <c r="AN38" s="81"/>
      <c r="AO38" s="361"/>
      <c r="AP38" s="362"/>
      <c r="AQ38" s="362"/>
      <c r="AR38" s="362"/>
      <c r="AS38" s="362"/>
      <c r="AT38" s="363"/>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289"/>
      <c r="C39" s="289"/>
      <c r="D39" s="290"/>
      <c r="E39" s="330"/>
      <c r="F39" s="331"/>
      <c r="G39" s="331"/>
      <c r="H39" s="331"/>
      <c r="I39" s="331"/>
      <c r="J39" s="74" t="str">
        <f>IF(AND('Mapa final'!$Y$20="Baja",'Mapa final'!$AA$20="Leve"),CONCATENATE("R4C",'Mapa final'!$O$20),"")</f>
        <v/>
      </c>
      <c r="K39" s="75" t="str">
        <f>IF(AND('Mapa final'!$Y$21="Baja",'Mapa final'!$AA$21="Leve"),CONCATENATE("R4C",'Mapa final'!$O$21),"")</f>
        <v/>
      </c>
      <c r="L39" s="75" t="str">
        <f>IF(AND('Mapa final'!$Y$22="Baja",'Mapa final'!$AA$22="Leve"),CONCATENATE("R4C",'Mapa final'!$O$22),"")</f>
        <v/>
      </c>
      <c r="M39" s="75" t="str">
        <f>IF(AND('Mapa final'!$Y$23="Baja",'Mapa final'!$AA$23="Leve"),CONCATENATE("R4C",'Mapa final'!$O$23),"")</f>
        <v/>
      </c>
      <c r="N39" s="75" t="e">
        <f>IF(AND('Mapa final'!#REF!="Baja",'Mapa final'!#REF!="Leve"),CONCATENATE("R4C",'Mapa final'!#REF!),"")</f>
        <v>#REF!</v>
      </c>
      <c r="O39" s="76" t="e">
        <f>IF(AND('Mapa final'!#REF!="Baja",'Mapa final'!#REF!="Leve"),CONCATENATE("R4C",'Mapa final'!#REF!),"")</f>
        <v>#REF!</v>
      </c>
      <c r="P39" s="65" t="str">
        <f>IF(AND('Mapa final'!$Y$20="Baja",'Mapa final'!$AA$20="Menor"),CONCATENATE("R4C",'Mapa final'!$O$20),"")</f>
        <v/>
      </c>
      <c r="Q39" s="66" t="str">
        <f>IF(AND('Mapa final'!$Y$21="Baja",'Mapa final'!$AA$21="Menor"),CONCATENATE("R4C",'Mapa final'!$O$21),"")</f>
        <v/>
      </c>
      <c r="R39" s="66" t="str">
        <f>IF(AND('Mapa final'!$Y$22="Baja",'Mapa final'!$AA$22="Menor"),CONCATENATE("R4C",'Mapa final'!$O$22),"")</f>
        <v/>
      </c>
      <c r="S39" s="66" t="str">
        <f>IF(AND('Mapa final'!$Y$23="Baja",'Mapa final'!$AA$23="Menor"),CONCATENATE("R4C",'Mapa final'!$O$23),"")</f>
        <v>R4C4</v>
      </c>
      <c r="T39" s="66" t="e">
        <f>IF(AND('Mapa final'!#REF!="Baja",'Mapa final'!#REF!="Menor"),CONCATENATE("R4C",'Mapa final'!#REF!),"")</f>
        <v>#REF!</v>
      </c>
      <c r="U39" s="67" t="e">
        <f>IF(AND('Mapa final'!#REF!="Baja",'Mapa final'!#REF!="Menor"),CONCATENATE("R4C",'Mapa final'!#REF!),"")</f>
        <v>#REF!</v>
      </c>
      <c r="V39" s="65" t="str">
        <f>IF(AND('Mapa final'!$Y$20="Baja",'Mapa final'!$AA$20="Moderado"),CONCATENATE("R4C",'Mapa final'!$O$20),"")</f>
        <v/>
      </c>
      <c r="W39" s="66" t="str">
        <f>IF(AND('Mapa final'!$Y$21="Baja",'Mapa final'!$AA$21="Moderado"),CONCATENATE("R4C",'Mapa final'!$O$21),"")</f>
        <v/>
      </c>
      <c r="X39" s="66" t="str">
        <f>IF(AND('Mapa final'!$Y$22="Baja",'Mapa final'!$AA$22="Moderado"),CONCATENATE("R4C",'Mapa final'!$O$22),"")</f>
        <v/>
      </c>
      <c r="Y39" s="66" t="str">
        <f>IF(AND('Mapa final'!$Y$23="Baja",'Mapa final'!$AA$23="Moderado"),CONCATENATE("R4C",'Mapa final'!$O$23),"")</f>
        <v/>
      </c>
      <c r="Z39" s="66" t="e">
        <f>IF(AND('Mapa final'!#REF!="Baja",'Mapa final'!#REF!="Moderado"),CONCATENATE("R4C",'Mapa final'!#REF!),"")</f>
        <v>#REF!</v>
      </c>
      <c r="AA39" s="67" t="e">
        <f>IF(AND('Mapa final'!#REF!="Baja",'Mapa final'!#REF!="Moderado"),CONCATENATE("R4C",'Mapa final'!#REF!),"")</f>
        <v>#REF!</v>
      </c>
      <c r="AB39" s="50" t="str">
        <f>IF(AND('Mapa final'!$Y$20="Baja",'Mapa final'!$AA$20="Mayor"),CONCATENATE("R4C",'Mapa final'!$O$20),"")</f>
        <v/>
      </c>
      <c r="AC39" s="51" t="str">
        <f>IF(AND('Mapa final'!$Y$21="Baja",'Mapa final'!$AA$21="Mayor"),CONCATENATE("R4C",'Mapa final'!$O$21),"")</f>
        <v/>
      </c>
      <c r="AD39" s="51" t="str">
        <f>IF(AND('Mapa final'!$Y$22="Baja",'Mapa final'!$AA$22="Mayor"),CONCATENATE("R4C",'Mapa final'!$O$22),"")</f>
        <v/>
      </c>
      <c r="AE39" s="51" t="str">
        <f>IF(AND('Mapa final'!$Y$23="Baja",'Mapa final'!$AA$23="Mayor"),CONCATENATE("R4C",'Mapa final'!$O$23),"")</f>
        <v/>
      </c>
      <c r="AF39" s="51" t="e">
        <f>IF(AND('Mapa final'!#REF!="Baja",'Mapa final'!#REF!="Mayor"),CONCATENATE("R4C",'Mapa final'!#REF!),"")</f>
        <v>#REF!</v>
      </c>
      <c r="AG39" s="52" t="e">
        <f>IF(AND('Mapa final'!#REF!="Baja",'Mapa final'!#REF!="Mayor"),CONCATENATE("R4C",'Mapa final'!#REF!),"")</f>
        <v>#REF!</v>
      </c>
      <c r="AH39" s="53" t="str">
        <f>IF(AND('Mapa final'!$Y$20="Baja",'Mapa final'!$AA$20="Catastrófico"),CONCATENATE("R4C",'Mapa final'!$O$20),"")</f>
        <v/>
      </c>
      <c r="AI39" s="54" t="str">
        <f>IF(AND('Mapa final'!$Y$21="Baja",'Mapa final'!$AA$21="Catastrófico"),CONCATENATE("R4C",'Mapa final'!$O$21),"")</f>
        <v/>
      </c>
      <c r="AJ39" s="54" t="str">
        <f>IF(AND('Mapa final'!$Y$22="Baja",'Mapa final'!$AA$22="Catastrófico"),CONCATENATE("R4C",'Mapa final'!$O$22),"")</f>
        <v/>
      </c>
      <c r="AK39" s="54" t="str">
        <f>IF(AND('Mapa final'!$Y$23="Baja",'Mapa final'!$AA$23="Catastrófico"),CONCATENATE("R4C",'Mapa final'!$O$23),"")</f>
        <v/>
      </c>
      <c r="AL39" s="54" t="e">
        <f>IF(AND('Mapa final'!#REF!="Baja",'Mapa final'!#REF!="Catastrófico"),CONCATENATE("R4C",'Mapa final'!#REF!),"")</f>
        <v>#REF!</v>
      </c>
      <c r="AM39" s="55" t="e">
        <f>IF(AND('Mapa final'!#REF!="Baja",'Mapa final'!#REF!="Catastrófico"),CONCATENATE("R4C",'Mapa final'!#REF!),"")</f>
        <v>#REF!</v>
      </c>
      <c r="AN39" s="81"/>
      <c r="AO39" s="361"/>
      <c r="AP39" s="362"/>
      <c r="AQ39" s="362"/>
      <c r="AR39" s="362"/>
      <c r="AS39" s="362"/>
      <c r="AT39" s="363"/>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289"/>
      <c r="C40" s="289"/>
      <c r="D40" s="290"/>
      <c r="E40" s="330"/>
      <c r="F40" s="331"/>
      <c r="G40" s="331"/>
      <c r="H40" s="331"/>
      <c r="I40" s="331"/>
      <c r="J40" s="74" t="str">
        <f>IF(AND('Mapa final'!$Y$24="Baja",'Mapa final'!$AA$24="Leve"),CONCATENATE("R5C",'Mapa final'!$O$24),"")</f>
        <v/>
      </c>
      <c r="K40" s="75" t="str">
        <f>IF(AND('Mapa final'!$Y$25="Baja",'Mapa final'!$AA$25="Leve"),CONCATENATE("R5C",'Mapa final'!$O$25),"")</f>
        <v/>
      </c>
      <c r="L40" s="75" t="str">
        <f>IF(AND('Mapa final'!$Y$26="Baja",'Mapa final'!$AA$26="Leve"),CONCATENATE("R5C",'Mapa final'!$O$26),"")</f>
        <v/>
      </c>
      <c r="M40" s="75" t="str">
        <f>IF(AND('Mapa final'!$Y$27="Baja",'Mapa final'!$AA$27="Leve"),CONCATENATE("R5C",'Mapa final'!$O$27),"")</f>
        <v/>
      </c>
      <c r="N40" s="75" t="str">
        <f>IF(AND('Mapa final'!$Y$28="Baja",'Mapa final'!$AA$28="Leve"),CONCATENATE("R5C",'Mapa final'!$O$28),"")</f>
        <v/>
      </c>
      <c r="O40" s="76" t="str">
        <f>IF(AND('Mapa final'!$Y$29="Baja",'Mapa final'!$AA$29="Leve"),CONCATENATE("R5C",'Mapa final'!$O$29),"")</f>
        <v/>
      </c>
      <c r="P40" s="65" t="str">
        <f>IF(AND('Mapa final'!$Y$24="Baja",'Mapa final'!$AA$24="Menor"),CONCATENATE("R5C",'Mapa final'!$O$24),"")</f>
        <v/>
      </c>
      <c r="Q40" s="66" t="str">
        <f>IF(AND('Mapa final'!$Y$25="Baja",'Mapa final'!$AA$25="Menor"),CONCATENATE("R5C",'Mapa final'!$O$25),"")</f>
        <v/>
      </c>
      <c r="R40" s="66" t="str">
        <f>IF(AND('Mapa final'!$Y$26="Baja",'Mapa final'!$AA$26="Menor"),CONCATENATE("R5C",'Mapa final'!$O$26),"")</f>
        <v/>
      </c>
      <c r="S40" s="66" t="str">
        <f>IF(AND('Mapa final'!$Y$27="Baja",'Mapa final'!$AA$27="Menor"),CONCATENATE("R5C",'Mapa final'!$O$27),"")</f>
        <v/>
      </c>
      <c r="T40" s="66" t="str">
        <f>IF(AND('Mapa final'!$Y$28="Baja",'Mapa final'!$AA$28="Menor"),CONCATENATE("R5C",'Mapa final'!$O$28),"")</f>
        <v/>
      </c>
      <c r="U40" s="67" t="str">
        <f>IF(AND('Mapa final'!$Y$29="Baja",'Mapa final'!$AA$29="Menor"),CONCATENATE("R5C",'Mapa final'!$O$29),"")</f>
        <v/>
      </c>
      <c r="V40" s="65" t="str">
        <f>IF(AND('Mapa final'!$Y$24="Baja",'Mapa final'!$AA$24="Moderado"),CONCATENATE("R5C",'Mapa final'!$O$24),"")</f>
        <v/>
      </c>
      <c r="W40" s="66" t="str">
        <f>IF(AND('Mapa final'!$Y$25="Baja",'Mapa final'!$AA$25="Moderado"),CONCATENATE("R5C",'Mapa final'!$O$25),"")</f>
        <v/>
      </c>
      <c r="X40" s="66" t="str">
        <f>IF(AND('Mapa final'!$Y$26="Baja",'Mapa final'!$AA$26="Moderado"),CONCATENATE("R5C",'Mapa final'!$O$26),"")</f>
        <v/>
      </c>
      <c r="Y40" s="66" t="str">
        <f>IF(AND('Mapa final'!$Y$27="Baja",'Mapa final'!$AA$27="Moderado"),CONCATENATE("R5C",'Mapa final'!$O$27),"")</f>
        <v/>
      </c>
      <c r="Z40" s="66" t="str">
        <f>IF(AND('Mapa final'!$Y$28="Baja",'Mapa final'!$AA$28="Moderado"),CONCATENATE("R5C",'Mapa final'!$O$28),"")</f>
        <v/>
      </c>
      <c r="AA40" s="67" t="str">
        <f>IF(AND('Mapa final'!$Y$29="Baja",'Mapa final'!$AA$29="Moderado"),CONCATENATE("R5C",'Mapa final'!$O$29),"")</f>
        <v/>
      </c>
      <c r="AB40" s="50" t="str">
        <f>IF(AND('Mapa final'!$Y$24="Baja",'Mapa final'!$AA$24="Mayor"),CONCATENATE("R5C",'Mapa final'!$O$24),"")</f>
        <v/>
      </c>
      <c r="AC40" s="51" t="str">
        <f>IF(AND('Mapa final'!$Y$25="Baja",'Mapa final'!$AA$25="Mayor"),CONCATENATE("R5C",'Mapa final'!$O$25),"")</f>
        <v/>
      </c>
      <c r="AD40" s="51" t="str">
        <f>IF(AND('Mapa final'!$Y$26="Baja",'Mapa final'!$AA$26="Mayor"),CONCATENATE("R5C",'Mapa final'!$O$26),"")</f>
        <v/>
      </c>
      <c r="AE40" s="51" t="str">
        <f>IF(AND('Mapa final'!$Y$27="Baja",'Mapa final'!$AA$27="Mayor"),CONCATENATE("R5C",'Mapa final'!$O$27),"")</f>
        <v/>
      </c>
      <c r="AF40" s="51" t="str">
        <f>IF(AND('Mapa final'!$Y$28="Baja",'Mapa final'!$AA$28="Mayor"),CONCATENATE("R5C",'Mapa final'!$O$28),"")</f>
        <v/>
      </c>
      <c r="AG40" s="52" t="str">
        <f>IF(AND('Mapa final'!$Y$29="Baja",'Mapa final'!$AA$29="Mayor"),CONCATENATE("R5C",'Mapa final'!$O$29),"")</f>
        <v/>
      </c>
      <c r="AH40" s="53" t="str">
        <f>IF(AND('Mapa final'!$Y$24="Baja",'Mapa final'!$AA$24="Catastrófico"),CONCATENATE("R5C",'Mapa final'!$O$24),"")</f>
        <v/>
      </c>
      <c r="AI40" s="54" t="str">
        <f>IF(AND('Mapa final'!$Y$25="Baja",'Mapa final'!$AA$25="Catastrófico"),CONCATENATE("R5C",'Mapa final'!$O$25),"")</f>
        <v/>
      </c>
      <c r="AJ40" s="54" t="str">
        <f>IF(AND('Mapa final'!$Y$26="Baja",'Mapa final'!$AA$26="Catastrófico"),CONCATENATE("R5C",'Mapa final'!$O$26),"")</f>
        <v/>
      </c>
      <c r="AK40" s="54" t="str">
        <f>IF(AND('Mapa final'!$Y$27="Baja",'Mapa final'!$AA$27="Catastrófico"),CONCATENATE("R5C",'Mapa final'!$O$27),"")</f>
        <v/>
      </c>
      <c r="AL40" s="54" t="str">
        <f>IF(AND('Mapa final'!$Y$28="Baja",'Mapa final'!$AA$28="Catastrófico"),CONCATENATE("R5C",'Mapa final'!$O$28),"")</f>
        <v/>
      </c>
      <c r="AM40" s="55" t="str">
        <f>IF(AND('Mapa final'!$Y$29="Baja",'Mapa final'!$AA$29="Catastrófico"),CONCATENATE("R5C",'Mapa final'!$O$29),"")</f>
        <v/>
      </c>
      <c r="AN40" s="81"/>
      <c r="AO40" s="361"/>
      <c r="AP40" s="362"/>
      <c r="AQ40" s="362"/>
      <c r="AR40" s="362"/>
      <c r="AS40" s="362"/>
      <c r="AT40" s="363"/>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289"/>
      <c r="C41" s="289"/>
      <c r="D41" s="290"/>
      <c r="E41" s="330"/>
      <c r="F41" s="331"/>
      <c r="G41" s="331"/>
      <c r="H41" s="331"/>
      <c r="I41" s="331"/>
      <c r="J41" s="74" t="str">
        <f>IF(AND('Mapa final'!$Y$30="Baja",'Mapa final'!$AA$30="Leve"),CONCATENATE("R6C",'Mapa final'!$O$30),"")</f>
        <v/>
      </c>
      <c r="K41" s="75" t="str">
        <f>IF(AND('Mapa final'!$Y$31="Baja",'Mapa final'!$AA$31="Leve"),CONCATENATE("R6C",'Mapa final'!$O$31),"")</f>
        <v/>
      </c>
      <c r="L41" s="75" t="str">
        <f>IF(AND('Mapa final'!$Y$32="Baja",'Mapa final'!$AA$32="Leve"),CONCATENATE("R6C",'Mapa final'!$O$32),"")</f>
        <v/>
      </c>
      <c r="M41" s="75" t="str">
        <f>IF(AND('Mapa final'!$Y$33="Baja",'Mapa final'!$AA$33="Leve"),CONCATENATE("R6C",'Mapa final'!$O$33),"")</f>
        <v/>
      </c>
      <c r="N41" s="75" t="str">
        <f>IF(AND('Mapa final'!$Y$34="Baja",'Mapa final'!$AA$34="Leve"),CONCATENATE("R6C",'Mapa final'!$O$34),"")</f>
        <v/>
      </c>
      <c r="O41" s="76" t="str">
        <f>IF(AND('Mapa final'!$Y$35="Baja",'Mapa final'!$AA$35="Leve"),CONCATENATE("R6C",'Mapa final'!$O$35),"")</f>
        <v/>
      </c>
      <c r="P41" s="65" t="str">
        <f>IF(AND('Mapa final'!$Y$30="Baja",'Mapa final'!$AA$30="Menor"),CONCATENATE("R6C",'Mapa final'!$O$30),"")</f>
        <v/>
      </c>
      <c r="Q41" s="66" t="str">
        <f>IF(AND('Mapa final'!$Y$31="Baja",'Mapa final'!$AA$31="Menor"),CONCATENATE("R6C",'Mapa final'!$O$31),"")</f>
        <v/>
      </c>
      <c r="R41" s="66" t="str">
        <f>IF(AND('Mapa final'!$Y$32="Baja",'Mapa final'!$AA$32="Menor"),CONCATENATE("R6C",'Mapa final'!$O$32),"")</f>
        <v/>
      </c>
      <c r="S41" s="66" t="str">
        <f>IF(AND('Mapa final'!$Y$33="Baja",'Mapa final'!$AA$33="Menor"),CONCATENATE("R6C",'Mapa final'!$O$33),"")</f>
        <v/>
      </c>
      <c r="T41" s="66" t="str">
        <f>IF(AND('Mapa final'!$Y$34="Baja",'Mapa final'!$AA$34="Menor"),CONCATENATE("R6C",'Mapa final'!$O$34),"")</f>
        <v/>
      </c>
      <c r="U41" s="67" t="str">
        <f>IF(AND('Mapa final'!$Y$35="Baja",'Mapa final'!$AA$35="Menor"),CONCATENATE("R6C",'Mapa final'!$O$35),"")</f>
        <v/>
      </c>
      <c r="V41" s="65" t="str">
        <f>IF(AND('Mapa final'!$Y$30="Baja",'Mapa final'!$AA$30="Moderado"),CONCATENATE("R6C",'Mapa final'!$O$30),"")</f>
        <v/>
      </c>
      <c r="W41" s="66" t="str">
        <f>IF(AND('Mapa final'!$Y$31="Baja",'Mapa final'!$AA$31="Moderado"),CONCATENATE("R6C",'Mapa final'!$O$31),"")</f>
        <v/>
      </c>
      <c r="X41" s="66" t="str">
        <f>IF(AND('Mapa final'!$Y$32="Baja",'Mapa final'!$AA$32="Moderado"),CONCATENATE("R6C",'Mapa final'!$O$32),"")</f>
        <v/>
      </c>
      <c r="Y41" s="66" t="str">
        <f>IF(AND('Mapa final'!$Y$33="Baja",'Mapa final'!$AA$33="Moderado"),CONCATENATE("R6C",'Mapa final'!$O$33),"")</f>
        <v/>
      </c>
      <c r="Z41" s="66" t="str">
        <f>IF(AND('Mapa final'!$Y$34="Baja",'Mapa final'!$AA$34="Moderado"),CONCATENATE("R6C",'Mapa final'!$O$34),"")</f>
        <v/>
      </c>
      <c r="AA41" s="67" t="str">
        <f>IF(AND('Mapa final'!$Y$35="Baja",'Mapa final'!$AA$35="Moderado"),CONCATENATE("R6C",'Mapa final'!$O$35),"")</f>
        <v/>
      </c>
      <c r="AB41" s="50" t="str">
        <f>IF(AND('Mapa final'!$Y$30="Baja",'Mapa final'!$AA$30="Mayor"),CONCATENATE("R6C",'Mapa final'!$O$30),"")</f>
        <v/>
      </c>
      <c r="AC41" s="51" t="str">
        <f>IF(AND('Mapa final'!$Y$31="Baja",'Mapa final'!$AA$31="Mayor"),CONCATENATE("R6C",'Mapa final'!$O$31),"")</f>
        <v/>
      </c>
      <c r="AD41" s="51" t="str">
        <f>IF(AND('Mapa final'!$Y$32="Baja",'Mapa final'!$AA$32="Mayor"),CONCATENATE("R6C",'Mapa final'!$O$32),"")</f>
        <v/>
      </c>
      <c r="AE41" s="51" t="str">
        <f>IF(AND('Mapa final'!$Y$33="Baja",'Mapa final'!$AA$33="Mayor"),CONCATENATE("R6C",'Mapa final'!$O$33),"")</f>
        <v/>
      </c>
      <c r="AF41" s="51" t="str">
        <f>IF(AND('Mapa final'!$Y$34="Baja",'Mapa final'!$AA$34="Mayor"),CONCATENATE("R6C",'Mapa final'!$O$34),"")</f>
        <v/>
      </c>
      <c r="AG41" s="52" t="str">
        <f>IF(AND('Mapa final'!$Y$35="Baja",'Mapa final'!$AA$35="Mayor"),CONCATENATE("R6C",'Mapa final'!$O$35),"")</f>
        <v/>
      </c>
      <c r="AH41" s="53" t="str">
        <f>IF(AND('Mapa final'!$Y$30="Baja",'Mapa final'!$AA$30="Catastrófico"),CONCATENATE("R6C",'Mapa final'!$O$30),"")</f>
        <v/>
      </c>
      <c r="AI41" s="54" t="str">
        <f>IF(AND('Mapa final'!$Y$31="Baja",'Mapa final'!$AA$31="Catastrófico"),CONCATENATE("R6C",'Mapa final'!$O$31),"")</f>
        <v/>
      </c>
      <c r="AJ41" s="54" t="str">
        <f>IF(AND('Mapa final'!$Y$32="Baja",'Mapa final'!$AA$32="Catastrófico"),CONCATENATE("R6C",'Mapa final'!$O$32),"")</f>
        <v/>
      </c>
      <c r="AK41" s="54" t="str">
        <f>IF(AND('Mapa final'!$Y$33="Baja",'Mapa final'!$AA$33="Catastrófico"),CONCATENATE("R6C",'Mapa final'!$O$33),"")</f>
        <v/>
      </c>
      <c r="AL41" s="54" t="str">
        <f>IF(AND('Mapa final'!$Y$34="Baja",'Mapa final'!$AA$34="Catastrófico"),CONCATENATE("R6C",'Mapa final'!$O$34),"")</f>
        <v/>
      </c>
      <c r="AM41" s="55" t="str">
        <f>IF(AND('Mapa final'!$Y$35="Baja",'Mapa final'!$AA$35="Catastrófico"),CONCATENATE("R6C",'Mapa final'!$O$35),"")</f>
        <v/>
      </c>
      <c r="AN41" s="81"/>
      <c r="AO41" s="361"/>
      <c r="AP41" s="362"/>
      <c r="AQ41" s="362"/>
      <c r="AR41" s="362"/>
      <c r="AS41" s="362"/>
      <c r="AT41" s="363"/>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289"/>
      <c r="C42" s="289"/>
      <c r="D42" s="290"/>
      <c r="E42" s="330"/>
      <c r="F42" s="331"/>
      <c r="G42" s="331"/>
      <c r="H42" s="331"/>
      <c r="I42" s="331"/>
      <c r="J42" s="74" t="str">
        <f>IF(AND('Mapa final'!$Y$36="Baja",'Mapa final'!$AA$36="Leve"),CONCATENATE("R7C",'Mapa final'!$O$36),"")</f>
        <v/>
      </c>
      <c r="K42" s="75" t="str">
        <f>IF(AND('Mapa final'!$Y$37="Baja",'Mapa final'!$AA$37="Leve"),CONCATENATE("R7C",'Mapa final'!$O$37),"")</f>
        <v/>
      </c>
      <c r="L42" s="75" t="str">
        <f>IF(AND('Mapa final'!$Y$38="Baja",'Mapa final'!$AA$38="Leve"),CONCATENATE("R7C",'Mapa final'!$O$38),"")</f>
        <v/>
      </c>
      <c r="M42" s="75" t="str">
        <f>IF(AND('Mapa final'!$Y$39="Baja",'Mapa final'!$AA$39="Leve"),CONCATENATE("R7C",'Mapa final'!$O$39),"")</f>
        <v/>
      </c>
      <c r="N42" s="75" t="str">
        <f>IF(AND('Mapa final'!$Y$40="Baja",'Mapa final'!$AA$40="Leve"),CONCATENATE("R7C",'Mapa final'!$O$40),"")</f>
        <v/>
      </c>
      <c r="O42" s="76" t="str">
        <f>IF(AND('Mapa final'!$Y$41="Baja",'Mapa final'!$AA$41="Leve"),CONCATENATE("R7C",'Mapa final'!$O$41),"")</f>
        <v/>
      </c>
      <c r="P42" s="65" t="str">
        <f>IF(AND('Mapa final'!$Y$36="Baja",'Mapa final'!$AA$36="Menor"),CONCATENATE("R7C",'Mapa final'!$O$36),"")</f>
        <v/>
      </c>
      <c r="Q42" s="66" t="str">
        <f>IF(AND('Mapa final'!$Y$37="Baja",'Mapa final'!$AA$37="Menor"),CONCATENATE("R7C",'Mapa final'!$O$37),"")</f>
        <v/>
      </c>
      <c r="R42" s="66" t="str">
        <f>IF(AND('Mapa final'!$Y$38="Baja",'Mapa final'!$AA$38="Menor"),CONCATENATE("R7C",'Mapa final'!$O$38),"")</f>
        <v/>
      </c>
      <c r="S42" s="66" t="str">
        <f>IF(AND('Mapa final'!$Y$39="Baja",'Mapa final'!$AA$39="Menor"),CONCATENATE("R7C",'Mapa final'!$O$39),"")</f>
        <v/>
      </c>
      <c r="T42" s="66" t="str">
        <f>IF(AND('Mapa final'!$Y$40="Baja",'Mapa final'!$AA$40="Menor"),CONCATENATE("R7C",'Mapa final'!$O$40),"")</f>
        <v/>
      </c>
      <c r="U42" s="67" t="str">
        <f>IF(AND('Mapa final'!$Y$41="Baja",'Mapa final'!$AA$41="Menor"),CONCATENATE("R7C",'Mapa final'!$O$41),"")</f>
        <v/>
      </c>
      <c r="V42" s="65" t="str">
        <f>IF(AND('Mapa final'!$Y$36="Baja",'Mapa final'!$AA$36="Moderado"),CONCATENATE("R7C",'Mapa final'!$O$36),"")</f>
        <v/>
      </c>
      <c r="W42" s="66" t="str">
        <f>IF(AND('Mapa final'!$Y$37="Baja",'Mapa final'!$AA$37="Moderado"),CONCATENATE("R7C",'Mapa final'!$O$37),"")</f>
        <v/>
      </c>
      <c r="X42" s="66" t="str">
        <f>IF(AND('Mapa final'!$Y$38="Baja",'Mapa final'!$AA$38="Moderado"),CONCATENATE("R7C",'Mapa final'!$O$38),"")</f>
        <v/>
      </c>
      <c r="Y42" s="66" t="str">
        <f>IF(AND('Mapa final'!$Y$39="Baja",'Mapa final'!$AA$39="Moderado"),CONCATENATE("R7C",'Mapa final'!$O$39),"")</f>
        <v/>
      </c>
      <c r="Z42" s="66" t="str">
        <f>IF(AND('Mapa final'!$Y$40="Baja",'Mapa final'!$AA$40="Moderado"),CONCATENATE("R7C",'Mapa final'!$O$40),"")</f>
        <v/>
      </c>
      <c r="AA42" s="67" t="str">
        <f>IF(AND('Mapa final'!$Y$41="Baja",'Mapa final'!$AA$41="Moderado"),CONCATENATE("R7C",'Mapa final'!$O$41),"")</f>
        <v/>
      </c>
      <c r="AB42" s="50" t="str">
        <f>IF(AND('Mapa final'!$Y$36="Baja",'Mapa final'!$AA$36="Mayor"),CONCATENATE("R7C",'Mapa final'!$O$36),"")</f>
        <v/>
      </c>
      <c r="AC42" s="51" t="str">
        <f>IF(AND('Mapa final'!$Y$37="Baja",'Mapa final'!$AA$37="Mayor"),CONCATENATE("R7C",'Mapa final'!$O$37),"")</f>
        <v/>
      </c>
      <c r="AD42" s="51" t="str">
        <f>IF(AND('Mapa final'!$Y$38="Baja",'Mapa final'!$AA$38="Mayor"),CONCATENATE("R7C",'Mapa final'!$O$38),"")</f>
        <v/>
      </c>
      <c r="AE42" s="51" t="str">
        <f>IF(AND('Mapa final'!$Y$39="Baja",'Mapa final'!$AA$39="Mayor"),CONCATENATE("R7C",'Mapa final'!$O$39),"")</f>
        <v/>
      </c>
      <c r="AF42" s="51" t="str">
        <f>IF(AND('Mapa final'!$Y$40="Baja",'Mapa final'!$AA$40="Mayor"),CONCATENATE("R7C",'Mapa final'!$O$40),"")</f>
        <v/>
      </c>
      <c r="AG42" s="52" t="str">
        <f>IF(AND('Mapa final'!$Y$41="Baja",'Mapa final'!$AA$41="Mayor"),CONCATENATE("R7C",'Mapa final'!$O$41),"")</f>
        <v/>
      </c>
      <c r="AH42" s="53" t="str">
        <f>IF(AND('Mapa final'!$Y$36="Baja",'Mapa final'!$AA$36="Catastrófico"),CONCATENATE("R7C",'Mapa final'!$O$36),"")</f>
        <v/>
      </c>
      <c r="AI42" s="54" t="str">
        <f>IF(AND('Mapa final'!$Y$37="Baja",'Mapa final'!$AA$37="Catastrófico"),CONCATENATE("R7C",'Mapa final'!$O$37),"")</f>
        <v/>
      </c>
      <c r="AJ42" s="54" t="str">
        <f>IF(AND('Mapa final'!$Y$38="Baja",'Mapa final'!$AA$38="Catastrófico"),CONCATENATE("R7C",'Mapa final'!$O$38),"")</f>
        <v/>
      </c>
      <c r="AK42" s="54" t="str">
        <f>IF(AND('Mapa final'!$Y$39="Baja",'Mapa final'!$AA$39="Catastrófico"),CONCATENATE("R7C",'Mapa final'!$O$39),"")</f>
        <v/>
      </c>
      <c r="AL42" s="54" t="str">
        <f>IF(AND('Mapa final'!$Y$40="Baja",'Mapa final'!$AA$40="Catastrófico"),CONCATENATE("R7C",'Mapa final'!$O$40),"")</f>
        <v/>
      </c>
      <c r="AM42" s="55" t="str">
        <f>IF(AND('Mapa final'!$Y$41="Baja",'Mapa final'!$AA$41="Catastrófico"),CONCATENATE("R7C",'Mapa final'!$O$41),"")</f>
        <v/>
      </c>
      <c r="AN42" s="81"/>
      <c r="AO42" s="361"/>
      <c r="AP42" s="362"/>
      <c r="AQ42" s="362"/>
      <c r="AR42" s="362"/>
      <c r="AS42" s="362"/>
      <c r="AT42" s="363"/>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289"/>
      <c r="C43" s="289"/>
      <c r="D43" s="290"/>
      <c r="E43" s="330"/>
      <c r="F43" s="331"/>
      <c r="G43" s="331"/>
      <c r="H43" s="331"/>
      <c r="I43" s="331"/>
      <c r="J43" s="74" t="str">
        <f>IF(AND('Mapa final'!$Y$42="Baja",'Mapa final'!$AA$42="Leve"),CONCATENATE("R8C",'Mapa final'!$O$42),"")</f>
        <v/>
      </c>
      <c r="K43" s="75" t="str">
        <f>IF(AND('Mapa final'!$Y$43="Baja",'Mapa final'!$AA$43="Leve"),CONCATENATE("R8C",'Mapa final'!$O$43),"")</f>
        <v/>
      </c>
      <c r="L43" s="75" t="str">
        <f>IF(AND('Mapa final'!$Y$44="Baja",'Mapa final'!$AA$44="Leve"),CONCATENATE("R8C",'Mapa final'!$O$44),"")</f>
        <v/>
      </c>
      <c r="M43" s="75" t="str">
        <f>IF(AND('Mapa final'!$Y$45="Baja",'Mapa final'!$AA$45="Leve"),CONCATENATE("R8C",'Mapa final'!$O$45),"")</f>
        <v/>
      </c>
      <c r="N43" s="75" t="str">
        <f>IF(AND('Mapa final'!$Y$46="Baja",'Mapa final'!$AA$46="Leve"),CONCATENATE("R8C",'Mapa final'!$O$46),"")</f>
        <v/>
      </c>
      <c r="O43" s="76" t="str">
        <f>IF(AND('Mapa final'!$Y$47="Baja",'Mapa final'!$AA$47="Leve"),CONCATENATE("R8C",'Mapa final'!$O$47),"")</f>
        <v/>
      </c>
      <c r="P43" s="65" t="str">
        <f>IF(AND('Mapa final'!$Y$42="Baja",'Mapa final'!$AA$42="Menor"),CONCATENATE("R8C",'Mapa final'!$O$42),"")</f>
        <v/>
      </c>
      <c r="Q43" s="66" t="str">
        <f>IF(AND('Mapa final'!$Y$43="Baja",'Mapa final'!$AA$43="Menor"),CONCATENATE("R8C",'Mapa final'!$O$43),"")</f>
        <v/>
      </c>
      <c r="R43" s="66" t="str">
        <f>IF(AND('Mapa final'!$Y$44="Baja",'Mapa final'!$AA$44="Menor"),CONCATENATE("R8C",'Mapa final'!$O$44),"")</f>
        <v/>
      </c>
      <c r="S43" s="66" t="str">
        <f>IF(AND('Mapa final'!$Y$45="Baja",'Mapa final'!$AA$45="Menor"),CONCATENATE("R8C",'Mapa final'!$O$45),"")</f>
        <v/>
      </c>
      <c r="T43" s="66" t="str">
        <f>IF(AND('Mapa final'!$Y$46="Baja",'Mapa final'!$AA$46="Menor"),CONCATENATE("R8C",'Mapa final'!$O$46),"")</f>
        <v/>
      </c>
      <c r="U43" s="67" t="str">
        <f>IF(AND('Mapa final'!$Y$47="Baja",'Mapa final'!$AA$47="Menor"),CONCATENATE("R8C",'Mapa final'!$O$47),"")</f>
        <v/>
      </c>
      <c r="V43" s="65" t="str">
        <f>IF(AND('Mapa final'!$Y$42="Baja",'Mapa final'!$AA$42="Moderado"),CONCATENATE("R8C",'Mapa final'!$O$42),"")</f>
        <v/>
      </c>
      <c r="W43" s="66" t="str">
        <f>IF(AND('Mapa final'!$Y$43="Baja",'Mapa final'!$AA$43="Moderado"),CONCATENATE("R8C",'Mapa final'!$O$43),"")</f>
        <v/>
      </c>
      <c r="X43" s="66" t="str">
        <f>IF(AND('Mapa final'!$Y$44="Baja",'Mapa final'!$AA$44="Moderado"),CONCATENATE("R8C",'Mapa final'!$O$44),"")</f>
        <v/>
      </c>
      <c r="Y43" s="66" t="str">
        <f>IF(AND('Mapa final'!$Y$45="Baja",'Mapa final'!$AA$45="Moderado"),CONCATENATE("R8C",'Mapa final'!$O$45),"")</f>
        <v/>
      </c>
      <c r="Z43" s="66" t="str">
        <f>IF(AND('Mapa final'!$Y$46="Baja",'Mapa final'!$AA$46="Moderado"),CONCATENATE("R8C",'Mapa final'!$O$46),"")</f>
        <v/>
      </c>
      <c r="AA43" s="67" t="str">
        <f>IF(AND('Mapa final'!$Y$47="Baja",'Mapa final'!$AA$47="Moderado"),CONCATENATE("R8C",'Mapa final'!$O$47),"")</f>
        <v/>
      </c>
      <c r="AB43" s="50" t="str">
        <f>IF(AND('Mapa final'!$Y$42="Baja",'Mapa final'!$AA$42="Mayor"),CONCATENATE("R8C",'Mapa final'!$O$42),"")</f>
        <v/>
      </c>
      <c r="AC43" s="51" t="str">
        <f>IF(AND('Mapa final'!$Y$43="Baja",'Mapa final'!$AA$43="Mayor"),CONCATENATE("R8C",'Mapa final'!$O$43),"")</f>
        <v/>
      </c>
      <c r="AD43" s="51" t="str">
        <f>IF(AND('Mapa final'!$Y$44="Baja",'Mapa final'!$AA$44="Mayor"),CONCATENATE("R8C",'Mapa final'!$O$44),"")</f>
        <v/>
      </c>
      <c r="AE43" s="51" t="str">
        <f>IF(AND('Mapa final'!$Y$45="Baja",'Mapa final'!$AA$45="Mayor"),CONCATENATE("R8C",'Mapa final'!$O$45),"")</f>
        <v/>
      </c>
      <c r="AF43" s="51" t="str">
        <f>IF(AND('Mapa final'!$Y$46="Baja",'Mapa final'!$AA$46="Mayor"),CONCATENATE("R8C",'Mapa final'!$O$46),"")</f>
        <v/>
      </c>
      <c r="AG43" s="52" t="str">
        <f>IF(AND('Mapa final'!$Y$47="Baja",'Mapa final'!$AA$47="Mayor"),CONCATENATE("R8C",'Mapa final'!$O$47),"")</f>
        <v/>
      </c>
      <c r="AH43" s="53" t="str">
        <f>IF(AND('Mapa final'!$Y$42="Baja",'Mapa final'!$AA$42="Catastrófico"),CONCATENATE("R8C",'Mapa final'!$O$42),"")</f>
        <v/>
      </c>
      <c r="AI43" s="54" t="str">
        <f>IF(AND('Mapa final'!$Y$43="Baja",'Mapa final'!$AA$43="Catastrófico"),CONCATENATE("R8C",'Mapa final'!$O$43),"")</f>
        <v/>
      </c>
      <c r="AJ43" s="54" t="str">
        <f>IF(AND('Mapa final'!$Y$44="Baja",'Mapa final'!$AA$44="Catastrófico"),CONCATENATE("R8C",'Mapa final'!$O$44),"")</f>
        <v/>
      </c>
      <c r="AK43" s="54" t="str">
        <f>IF(AND('Mapa final'!$Y$45="Baja",'Mapa final'!$AA$45="Catastrófico"),CONCATENATE("R8C",'Mapa final'!$O$45),"")</f>
        <v/>
      </c>
      <c r="AL43" s="54" t="str">
        <f>IF(AND('Mapa final'!$Y$46="Baja",'Mapa final'!$AA$46="Catastrófico"),CONCATENATE("R8C",'Mapa final'!$O$46),"")</f>
        <v/>
      </c>
      <c r="AM43" s="55" t="str">
        <f>IF(AND('Mapa final'!$Y$47="Baja",'Mapa final'!$AA$47="Catastrófico"),CONCATENATE("R8C",'Mapa final'!$O$47),"")</f>
        <v/>
      </c>
      <c r="AN43" s="81"/>
      <c r="AO43" s="361"/>
      <c r="AP43" s="362"/>
      <c r="AQ43" s="362"/>
      <c r="AR43" s="362"/>
      <c r="AS43" s="362"/>
      <c r="AT43" s="363"/>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289"/>
      <c r="C44" s="289"/>
      <c r="D44" s="290"/>
      <c r="E44" s="330"/>
      <c r="F44" s="331"/>
      <c r="G44" s="331"/>
      <c r="H44" s="331"/>
      <c r="I44" s="331"/>
      <c r="J44" s="74" t="str">
        <f>IF(AND('Mapa final'!$Y$48="Baja",'Mapa final'!$AA$48="Leve"),CONCATENATE("R9C",'Mapa final'!$O$48),"")</f>
        <v/>
      </c>
      <c r="K44" s="75" t="str">
        <f>IF(AND('Mapa final'!$Y$49="Baja",'Mapa final'!$AA$49="Leve"),CONCATENATE("R9C",'Mapa final'!$O$49),"")</f>
        <v/>
      </c>
      <c r="L44" s="75" t="str">
        <f>IF(AND('Mapa final'!$Y$50="Baja",'Mapa final'!$AA$50="Leve"),CONCATENATE("R9C",'Mapa final'!$O$50),"")</f>
        <v/>
      </c>
      <c r="M44" s="75" t="str">
        <f>IF(AND('Mapa final'!$Y$51="Baja",'Mapa final'!$AA$51="Leve"),CONCATENATE("R9C",'Mapa final'!$O$51),"")</f>
        <v/>
      </c>
      <c r="N44" s="75" t="str">
        <f>IF(AND('Mapa final'!$Y$52="Baja",'Mapa final'!$AA$52="Leve"),CONCATENATE("R9C",'Mapa final'!$O$52),"")</f>
        <v/>
      </c>
      <c r="O44" s="76" t="str">
        <f>IF(AND('Mapa final'!$Y$53="Baja",'Mapa final'!$AA$53="Leve"),CONCATENATE("R9C",'Mapa final'!$O$53),"")</f>
        <v/>
      </c>
      <c r="P44" s="65" t="str">
        <f>IF(AND('Mapa final'!$Y$48="Baja",'Mapa final'!$AA$48="Menor"),CONCATENATE("R9C",'Mapa final'!$O$48),"")</f>
        <v/>
      </c>
      <c r="Q44" s="66" t="str">
        <f>IF(AND('Mapa final'!$Y$49="Baja",'Mapa final'!$AA$49="Menor"),CONCATENATE("R9C",'Mapa final'!$O$49),"")</f>
        <v/>
      </c>
      <c r="R44" s="66" t="str">
        <f>IF(AND('Mapa final'!$Y$50="Baja",'Mapa final'!$AA$50="Menor"),CONCATENATE("R9C",'Mapa final'!$O$50),"")</f>
        <v/>
      </c>
      <c r="S44" s="66" t="str">
        <f>IF(AND('Mapa final'!$Y$51="Baja",'Mapa final'!$AA$51="Menor"),CONCATENATE("R9C",'Mapa final'!$O$51),"")</f>
        <v/>
      </c>
      <c r="T44" s="66" t="str">
        <f>IF(AND('Mapa final'!$Y$52="Baja",'Mapa final'!$AA$52="Menor"),CONCATENATE("R9C",'Mapa final'!$O$52),"")</f>
        <v/>
      </c>
      <c r="U44" s="67" t="str">
        <f>IF(AND('Mapa final'!$Y$53="Baja",'Mapa final'!$AA$53="Menor"),CONCATENATE("R9C",'Mapa final'!$O$53),"")</f>
        <v/>
      </c>
      <c r="V44" s="65" t="str">
        <f>IF(AND('Mapa final'!$Y$48="Baja",'Mapa final'!$AA$48="Moderado"),CONCATENATE("R9C",'Mapa final'!$O$48),"")</f>
        <v/>
      </c>
      <c r="W44" s="66" t="str">
        <f>IF(AND('Mapa final'!$Y$49="Baja",'Mapa final'!$AA$49="Moderado"),CONCATENATE("R9C",'Mapa final'!$O$49),"")</f>
        <v/>
      </c>
      <c r="X44" s="66" t="str">
        <f>IF(AND('Mapa final'!$Y$50="Baja",'Mapa final'!$AA$50="Moderado"),CONCATENATE("R9C",'Mapa final'!$O$50),"")</f>
        <v/>
      </c>
      <c r="Y44" s="66" t="str">
        <f>IF(AND('Mapa final'!$Y$51="Baja",'Mapa final'!$AA$51="Moderado"),CONCATENATE("R9C",'Mapa final'!$O$51),"")</f>
        <v/>
      </c>
      <c r="Z44" s="66" t="str">
        <f>IF(AND('Mapa final'!$Y$52="Baja",'Mapa final'!$AA$52="Moderado"),CONCATENATE("R9C",'Mapa final'!$O$52),"")</f>
        <v/>
      </c>
      <c r="AA44" s="67" t="str">
        <f>IF(AND('Mapa final'!$Y$53="Baja",'Mapa final'!$AA$53="Moderado"),CONCATENATE("R9C",'Mapa final'!$O$53),"")</f>
        <v/>
      </c>
      <c r="AB44" s="50" t="str">
        <f>IF(AND('Mapa final'!$Y$48="Baja",'Mapa final'!$AA$48="Mayor"),CONCATENATE("R9C",'Mapa final'!$O$48),"")</f>
        <v/>
      </c>
      <c r="AC44" s="51" t="str">
        <f>IF(AND('Mapa final'!$Y$49="Baja",'Mapa final'!$AA$49="Mayor"),CONCATENATE("R9C",'Mapa final'!$O$49),"")</f>
        <v/>
      </c>
      <c r="AD44" s="51" t="str">
        <f>IF(AND('Mapa final'!$Y$50="Baja",'Mapa final'!$AA$50="Mayor"),CONCATENATE("R9C",'Mapa final'!$O$50),"")</f>
        <v/>
      </c>
      <c r="AE44" s="51" t="str">
        <f>IF(AND('Mapa final'!$Y$51="Baja",'Mapa final'!$AA$51="Mayor"),CONCATENATE("R9C",'Mapa final'!$O$51),"")</f>
        <v/>
      </c>
      <c r="AF44" s="51" t="str">
        <f>IF(AND('Mapa final'!$Y$52="Baja",'Mapa final'!$AA$52="Mayor"),CONCATENATE("R9C",'Mapa final'!$O$52),"")</f>
        <v/>
      </c>
      <c r="AG44" s="52" t="str">
        <f>IF(AND('Mapa final'!$Y$53="Baja",'Mapa final'!$AA$53="Mayor"),CONCATENATE("R9C",'Mapa final'!$O$53),"")</f>
        <v/>
      </c>
      <c r="AH44" s="53" t="str">
        <f>IF(AND('Mapa final'!$Y$48="Baja",'Mapa final'!$AA$48="Catastrófico"),CONCATENATE("R9C",'Mapa final'!$O$48),"")</f>
        <v/>
      </c>
      <c r="AI44" s="54" t="str">
        <f>IF(AND('Mapa final'!$Y$49="Baja",'Mapa final'!$AA$49="Catastrófico"),CONCATENATE("R9C",'Mapa final'!$O$49),"")</f>
        <v/>
      </c>
      <c r="AJ44" s="54" t="str">
        <f>IF(AND('Mapa final'!$Y$50="Baja",'Mapa final'!$AA$50="Catastrófico"),CONCATENATE("R9C",'Mapa final'!$O$50),"")</f>
        <v/>
      </c>
      <c r="AK44" s="54" t="str">
        <f>IF(AND('Mapa final'!$Y$51="Baja",'Mapa final'!$AA$51="Catastrófico"),CONCATENATE("R9C",'Mapa final'!$O$51),"")</f>
        <v/>
      </c>
      <c r="AL44" s="54" t="str">
        <f>IF(AND('Mapa final'!$Y$52="Baja",'Mapa final'!$AA$52="Catastrófico"),CONCATENATE("R9C",'Mapa final'!$O$52),"")</f>
        <v/>
      </c>
      <c r="AM44" s="55" t="str">
        <f>IF(AND('Mapa final'!$Y$53="Baja",'Mapa final'!$AA$53="Catastrófico"),CONCATENATE("R9C",'Mapa final'!$O$53),"")</f>
        <v/>
      </c>
      <c r="AN44" s="81"/>
      <c r="AO44" s="361"/>
      <c r="AP44" s="362"/>
      <c r="AQ44" s="362"/>
      <c r="AR44" s="362"/>
      <c r="AS44" s="362"/>
      <c r="AT44" s="363"/>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289"/>
      <c r="C45" s="289"/>
      <c r="D45" s="290"/>
      <c r="E45" s="333"/>
      <c r="F45" s="334"/>
      <c r="G45" s="334"/>
      <c r="H45" s="334"/>
      <c r="I45" s="334"/>
      <c r="J45" s="77" t="str">
        <f>IF(AND('Mapa final'!$Y$54="Baja",'Mapa final'!$AA$54="Leve"),CONCATENATE("R10C",'Mapa final'!$O$54),"")</f>
        <v/>
      </c>
      <c r="K45" s="78" t="str">
        <f>IF(AND('Mapa final'!$Y$55="Baja",'Mapa final'!$AA$55="Leve"),CONCATENATE("R10C",'Mapa final'!$O$55),"")</f>
        <v/>
      </c>
      <c r="L45" s="78" t="str">
        <f>IF(AND('Mapa final'!$Y$56="Baja",'Mapa final'!$AA$56="Leve"),CONCATENATE("R10C",'Mapa final'!$O$56),"")</f>
        <v/>
      </c>
      <c r="M45" s="78" t="str">
        <f>IF(AND('Mapa final'!$Y$57="Baja",'Mapa final'!$AA$57="Leve"),CONCATENATE("R10C",'Mapa final'!$O$57),"")</f>
        <v/>
      </c>
      <c r="N45" s="78" t="str">
        <f>IF(AND('Mapa final'!$Y$58="Baja",'Mapa final'!$AA$58="Leve"),CONCATENATE("R10C",'Mapa final'!$O$58),"")</f>
        <v/>
      </c>
      <c r="O45" s="79" t="str">
        <f>IF(AND('Mapa final'!$Y$59="Baja",'Mapa final'!$AA$59="Leve"),CONCATENATE("R10C",'Mapa final'!$O$59),"")</f>
        <v/>
      </c>
      <c r="P45" s="65" t="str">
        <f>IF(AND('Mapa final'!$Y$54="Baja",'Mapa final'!$AA$54="Menor"),CONCATENATE("R10C",'Mapa final'!$O$54),"")</f>
        <v/>
      </c>
      <c r="Q45" s="66" t="str">
        <f>IF(AND('Mapa final'!$Y$55="Baja",'Mapa final'!$AA$55="Menor"),CONCATENATE("R10C",'Mapa final'!$O$55),"")</f>
        <v/>
      </c>
      <c r="R45" s="66" t="str">
        <f>IF(AND('Mapa final'!$Y$56="Baja",'Mapa final'!$AA$56="Menor"),CONCATENATE("R10C",'Mapa final'!$O$56),"")</f>
        <v/>
      </c>
      <c r="S45" s="66" t="str">
        <f>IF(AND('Mapa final'!$Y$57="Baja",'Mapa final'!$AA$57="Menor"),CONCATENATE("R10C",'Mapa final'!$O$57),"")</f>
        <v/>
      </c>
      <c r="T45" s="66" t="str">
        <f>IF(AND('Mapa final'!$Y$58="Baja",'Mapa final'!$AA$58="Menor"),CONCATENATE("R10C",'Mapa final'!$O$58),"")</f>
        <v/>
      </c>
      <c r="U45" s="67" t="str">
        <f>IF(AND('Mapa final'!$Y$59="Baja",'Mapa final'!$AA$59="Menor"),CONCATENATE("R10C",'Mapa final'!$O$59),"")</f>
        <v/>
      </c>
      <c r="V45" s="68" t="str">
        <f>IF(AND('Mapa final'!$Y$54="Baja",'Mapa final'!$AA$54="Moderado"),CONCATENATE("R10C",'Mapa final'!$O$54),"")</f>
        <v/>
      </c>
      <c r="W45" s="69" t="str">
        <f>IF(AND('Mapa final'!$Y$55="Baja",'Mapa final'!$AA$55="Moderado"),CONCATENATE("R10C",'Mapa final'!$O$55),"")</f>
        <v/>
      </c>
      <c r="X45" s="69" t="str">
        <f>IF(AND('Mapa final'!$Y$56="Baja",'Mapa final'!$AA$56="Moderado"),CONCATENATE("R10C",'Mapa final'!$O$56),"")</f>
        <v/>
      </c>
      <c r="Y45" s="69" t="str">
        <f>IF(AND('Mapa final'!$Y$57="Baja",'Mapa final'!$AA$57="Moderado"),CONCATENATE("R10C",'Mapa final'!$O$57),"")</f>
        <v/>
      </c>
      <c r="Z45" s="69" t="str">
        <f>IF(AND('Mapa final'!$Y$58="Baja",'Mapa final'!$AA$58="Moderado"),CONCATENATE("R10C",'Mapa final'!$O$58),"")</f>
        <v/>
      </c>
      <c r="AA45" s="70" t="str">
        <f>IF(AND('Mapa final'!$Y$59="Baja",'Mapa final'!$AA$59="Moderado"),CONCATENATE("R10C",'Mapa final'!$O$59),"")</f>
        <v/>
      </c>
      <c r="AB45" s="56" t="str">
        <f>IF(AND('Mapa final'!$Y$54="Baja",'Mapa final'!$AA$54="Mayor"),CONCATENATE("R10C",'Mapa final'!$O$54),"")</f>
        <v/>
      </c>
      <c r="AC45" s="57" t="str">
        <f>IF(AND('Mapa final'!$Y$55="Baja",'Mapa final'!$AA$55="Mayor"),CONCATENATE("R10C",'Mapa final'!$O$55),"")</f>
        <v/>
      </c>
      <c r="AD45" s="57" t="str">
        <f>IF(AND('Mapa final'!$Y$56="Baja",'Mapa final'!$AA$56="Mayor"),CONCATENATE("R10C",'Mapa final'!$O$56),"")</f>
        <v/>
      </c>
      <c r="AE45" s="57" t="str">
        <f>IF(AND('Mapa final'!$Y$57="Baja",'Mapa final'!$AA$57="Mayor"),CONCATENATE("R10C",'Mapa final'!$O$57),"")</f>
        <v/>
      </c>
      <c r="AF45" s="57" t="str">
        <f>IF(AND('Mapa final'!$Y$58="Baja",'Mapa final'!$AA$58="Mayor"),CONCATENATE("R10C",'Mapa final'!$O$58),"")</f>
        <v/>
      </c>
      <c r="AG45" s="58" t="str">
        <f>IF(AND('Mapa final'!$Y$59="Baja",'Mapa final'!$AA$59="Mayor"),CONCATENATE("R10C",'Mapa final'!$O$59),"")</f>
        <v/>
      </c>
      <c r="AH45" s="59" t="str">
        <f>IF(AND('Mapa final'!$Y$54="Baja",'Mapa final'!$AA$54="Catastrófico"),CONCATENATE("R10C",'Mapa final'!$O$54),"")</f>
        <v/>
      </c>
      <c r="AI45" s="60" t="str">
        <f>IF(AND('Mapa final'!$Y$55="Baja",'Mapa final'!$AA$55="Catastrófico"),CONCATENATE("R10C",'Mapa final'!$O$55),"")</f>
        <v/>
      </c>
      <c r="AJ45" s="60" t="str">
        <f>IF(AND('Mapa final'!$Y$56="Baja",'Mapa final'!$AA$56="Catastrófico"),CONCATENATE("R10C",'Mapa final'!$O$56),"")</f>
        <v/>
      </c>
      <c r="AK45" s="60" t="str">
        <f>IF(AND('Mapa final'!$Y$57="Baja",'Mapa final'!$AA$57="Catastrófico"),CONCATENATE("R10C",'Mapa final'!$O$57),"")</f>
        <v/>
      </c>
      <c r="AL45" s="60" t="str">
        <f>IF(AND('Mapa final'!$Y$58="Baja",'Mapa final'!$AA$58="Catastrófico"),CONCATENATE("R10C",'Mapa final'!$O$58),"")</f>
        <v/>
      </c>
      <c r="AM45" s="61" t="str">
        <f>IF(AND('Mapa final'!$Y$59="Baja",'Mapa final'!$AA$59="Catastrófico"),CONCATENATE("R10C",'Mapa final'!$O$59),"")</f>
        <v/>
      </c>
      <c r="AN45" s="81"/>
      <c r="AO45" s="364"/>
      <c r="AP45" s="365"/>
      <c r="AQ45" s="365"/>
      <c r="AR45" s="365"/>
      <c r="AS45" s="365"/>
      <c r="AT45" s="366"/>
    </row>
    <row r="46" spans="1:80" ht="46.5" customHeight="1" x14ac:dyDescent="0.35">
      <c r="A46" s="81"/>
      <c r="B46" s="289"/>
      <c r="C46" s="289"/>
      <c r="D46" s="290"/>
      <c r="E46" s="327" t="s">
        <v>113</v>
      </c>
      <c r="F46" s="328"/>
      <c r="G46" s="328"/>
      <c r="H46" s="328"/>
      <c r="I46" s="329"/>
      <c r="J46" s="71" t="str">
        <f>IF(AND('Mapa final'!$Y$10="Muy Baja",'Mapa final'!$AA$10="Leve"),CONCATENATE("R1C",'Mapa final'!$O$10),"")</f>
        <v/>
      </c>
      <c r="K46" s="72" t="str">
        <f>IF(AND('Mapa final'!$Y$11="Muy Baja",'Mapa final'!$AA$11="Leve"),CONCATENATE("R1C",'Mapa final'!$O$11),"")</f>
        <v/>
      </c>
      <c r="L46" s="72" t="str">
        <f>IF(AND('Mapa final'!$Y$12="Muy Baja",'Mapa final'!$AA$12="Leve"),CONCATENATE("R1C",'Mapa final'!$O$12),"")</f>
        <v/>
      </c>
      <c r="M46" s="72" t="str">
        <f>IF(AND('Mapa final'!$Y$13="Muy Baja",'Mapa final'!$AA$13="Leve"),CONCATENATE("R1C",'Mapa final'!$O$13),"")</f>
        <v/>
      </c>
      <c r="N46" s="72" t="e">
        <f>IF(AND('Mapa final'!#REF!="Muy Baja",'Mapa final'!#REF!="Leve"),CONCATENATE("R1C",'Mapa final'!#REF!),"")</f>
        <v>#REF!</v>
      </c>
      <c r="O46" s="73" t="e">
        <f>IF(AND('Mapa final'!#REF!="Muy Baja",'Mapa final'!#REF!="Leve"),CONCATENATE("R1C",'Mapa final'!#REF!),"")</f>
        <v>#REF!</v>
      </c>
      <c r="P46" s="71" t="str">
        <f>IF(AND('Mapa final'!$Y$10="Muy Baja",'Mapa final'!$AA$10="Menor"),CONCATENATE("R1C",'Mapa final'!$O$10),"")</f>
        <v/>
      </c>
      <c r="Q46" s="72" t="str">
        <f>IF(AND('Mapa final'!$Y$11="Muy Baja",'Mapa final'!$AA$11="Menor"),CONCATENATE("R1C",'Mapa final'!$O$11),"")</f>
        <v/>
      </c>
      <c r="R46" s="72" t="str">
        <f>IF(AND('Mapa final'!$Y$12="Muy Baja",'Mapa final'!$AA$12="Menor"),CONCATENATE("R1C",'Mapa final'!$O$12),"")</f>
        <v/>
      </c>
      <c r="S46" s="72" t="str">
        <f>IF(AND('Mapa final'!$Y$13="Muy Baja",'Mapa final'!$AA$13="Menor"),CONCATENATE("R1C",'Mapa final'!$O$13),"")</f>
        <v/>
      </c>
      <c r="T46" s="72" t="e">
        <f>IF(AND('Mapa final'!#REF!="Muy Baja",'Mapa final'!#REF!="Menor"),CONCATENATE("R1C",'Mapa final'!#REF!),"")</f>
        <v>#REF!</v>
      </c>
      <c r="U46" s="73" t="e">
        <f>IF(AND('Mapa final'!#REF!="Muy Baja",'Mapa final'!#REF!="Menor"),CONCATENATE("R1C",'Mapa final'!#REF!),"")</f>
        <v>#REF!</v>
      </c>
      <c r="V46" s="62" t="str">
        <f>IF(AND('Mapa final'!$Y$10="Muy Baja",'Mapa final'!$AA$10="Moderado"),CONCATENATE("R1C",'Mapa final'!$O$10),"")</f>
        <v/>
      </c>
      <c r="W46" s="80" t="str">
        <f>IF(AND('Mapa final'!$Y$11="Muy Baja",'Mapa final'!$AA$11="Moderado"),CONCATENATE("R1C",'Mapa final'!$O$11),"")</f>
        <v/>
      </c>
      <c r="X46" s="63" t="str">
        <f>IF(AND('Mapa final'!$Y$12="Muy Baja",'Mapa final'!$AA$12="Moderado"),CONCATENATE("R1C",'Mapa final'!$O$12),"")</f>
        <v/>
      </c>
      <c r="Y46" s="63" t="str">
        <f>IF(AND('Mapa final'!$Y$13="Muy Baja",'Mapa final'!$AA$13="Moderado"),CONCATENATE("R1C",'Mapa final'!$O$13),"")</f>
        <v>R1C4</v>
      </c>
      <c r="Z46" s="63" t="e">
        <f>IF(AND('Mapa final'!#REF!="Muy Baja",'Mapa final'!#REF!="Moderado"),CONCATENATE("R1C",'Mapa final'!#REF!),"")</f>
        <v>#REF!</v>
      </c>
      <c r="AA46" s="64" t="e">
        <f>IF(AND('Mapa final'!#REF!="Muy Baja",'Mapa final'!#REF!="Moderado"),CONCATENATE("R1C",'Mapa final'!#REF!),"")</f>
        <v>#REF!</v>
      </c>
      <c r="AB46" s="44" t="str">
        <f>IF(AND('Mapa final'!$Y$10="Muy Baja",'Mapa final'!$AA$10="Mayor"),CONCATENATE("R1C",'Mapa final'!$O$10),"")</f>
        <v/>
      </c>
      <c r="AC46" s="45" t="str">
        <f>IF(AND('Mapa final'!$Y$11="Muy Baja",'Mapa final'!$AA$11="Mayor"),CONCATENATE("R1C",'Mapa final'!$O$11),"")</f>
        <v/>
      </c>
      <c r="AD46" s="45" t="str">
        <f>IF(AND('Mapa final'!$Y$12="Muy Baja",'Mapa final'!$AA$12="Mayor"),CONCATENATE("R1C",'Mapa final'!$O$12),"")</f>
        <v/>
      </c>
      <c r="AE46" s="45" t="str">
        <f>IF(AND('Mapa final'!$Y$13="Muy Baja",'Mapa final'!$AA$13="Mayor"),CONCATENATE("R1C",'Mapa final'!$O$13),"")</f>
        <v/>
      </c>
      <c r="AF46" s="45" t="e">
        <f>IF(AND('Mapa final'!#REF!="Muy Baja",'Mapa final'!#REF!="Mayor"),CONCATENATE("R1C",'Mapa final'!#REF!),"")</f>
        <v>#REF!</v>
      </c>
      <c r="AG46" s="46" t="e">
        <f>IF(AND('Mapa final'!#REF!="Muy Baja",'Mapa final'!#REF!="Mayor"),CONCATENATE("R1C",'Mapa final'!#REF!),"")</f>
        <v>#REF!</v>
      </c>
      <c r="AH46" s="47" t="str">
        <f>IF(AND('Mapa final'!$Y$10="Muy Baja",'Mapa final'!$AA$10="Catastrófico"),CONCATENATE("R1C",'Mapa final'!$O$10),"")</f>
        <v/>
      </c>
      <c r="AI46" s="48" t="str">
        <f>IF(AND('Mapa final'!$Y$11="Muy Baja",'Mapa final'!$AA$11="Catastrófico"),CONCATENATE("R1C",'Mapa final'!$O$11),"")</f>
        <v/>
      </c>
      <c r="AJ46" s="48" t="str">
        <f>IF(AND('Mapa final'!$Y$12="Muy Baja",'Mapa final'!$AA$12="Catastrófico"),CONCATENATE("R1C",'Mapa final'!$O$12),"")</f>
        <v/>
      </c>
      <c r="AK46" s="48" t="str">
        <f>IF(AND('Mapa final'!$Y$13="Muy Baja",'Mapa final'!$AA$13="Catastrófico"),CONCATENATE("R1C",'Mapa final'!$O$13),"")</f>
        <v/>
      </c>
      <c r="AL46" s="48" t="e">
        <f>IF(AND('Mapa final'!#REF!="Muy Baja",'Mapa final'!#REF!="Catastrófico"),CONCATENATE("R1C",'Mapa final'!#REF!),"")</f>
        <v>#REF!</v>
      </c>
      <c r="AM46" s="49" t="e">
        <f>IF(AND('Mapa final'!#REF!="Muy Baja",'Mapa final'!#REF!="Catastrófico"),CONCATENATE("R1C",'Mapa final'!#REF!),"")</f>
        <v>#REF!</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289"/>
      <c r="C47" s="289"/>
      <c r="D47" s="290"/>
      <c r="E47" s="346"/>
      <c r="F47" s="331"/>
      <c r="G47" s="331"/>
      <c r="H47" s="331"/>
      <c r="I47" s="332"/>
      <c r="J47" s="74" t="str">
        <f>IF(AND('Mapa final'!$Y$14="Muy Baja",'Mapa final'!$AA$14="Leve"),CONCATENATE("R2C",'Mapa final'!$O$14),"")</f>
        <v/>
      </c>
      <c r="K47" s="75" t="str">
        <f>IF(AND('Mapa final'!$Y$15="Muy Baja",'Mapa final'!$AA$15="Leve"),CONCATENATE("R2C",'Mapa final'!$O$15),"")</f>
        <v/>
      </c>
      <c r="L47" s="75" t="str">
        <f>IF(AND('Mapa final'!$Y$16="Muy Baja",'Mapa final'!$AA$16="Leve"),CONCATENATE("R2C",'Mapa final'!$O$16),"")</f>
        <v/>
      </c>
      <c r="M47" s="75" t="str">
        <f>IF(AND('Mapa final'!$Y$17="Muy Baja",'Mapa final'!$AA$17="Leve"),CONCATENATE("R2C",'Mapa final'!$O$17),"")</f>
        <v/>
      </c>
      <c r="N47" s="75" t="e">
        <f>IF(AND('Mapa final'!#REF!="Muy Baja",'Mapa final'!#REF!="Leve"),CONCATENATE("R2C",'Mapa final'!#REF!),"")</f>
        <v>#REF!</v>
      </c>
      <c r="O47" s="76" t="e">
        <f>IF(AND('Mapa final'!#REF!="Muy Baja",'Mapa final'!#REF!="Leve"),CONCATENATE("R2C",'Mapa final'!#REF!),"")</f>
        <v>#REF!</v>
      </c>
      <c r="P47" s="74" t="str">
        <f>IF(AND('Mapa final'!$Y$14="Muy Baja",'Mapa final'!$AA$14="Menor"),CONCATENATE("R2C",'Mapa final'!$O$14),"")</f>
        <v/>
      </c>
      <c r="Q47" s="75" t="str">
        <f>IF(AND('Mapa final'!$Y$15="Muy Baja",'Mapa final'!$AA$15="Menor"),CONCATENATE("R2C",'Mapa final'!$O$15),"")</f>
        <v/>
      </c>
      <c r="R47" s="75" t="str">
        <f>IF(AND('Mapa final'!$Y$16="Muy Baja",'Mapa final'!$AA$16="Menor"),CONCATENATE("R2C",'Mapa final'!$O$16),"")</f>
        <v/>
      </c>
      <c r="S47" s="75" t="str">
        <f>IF(AND('Mapa final'!$Y$17="Muy Baja",'Mapa final'!$AA$17="Menor"),CONCATENATE("R2C",'Mapa final'!$O$17),"")</f>
        <v/>
      </c>
      <c r="T47" s="75" t="e">
        <f>IF(AND('Mapa final'!#REF!="Muy Baja",'Mapa final'!#REF!="Menor"),CONCATENATE("R2C",'Mapa final'!#REF!),"")</f>
        <v>#REF!</v>
      </c>
      <c r="U47" s="76" t="e">
        <f>IF(AND('Mapa final'!#REF!="Muy Baja",'Mapa final'!#REF!="Menor"),CONCATENATE("R2C",'Mapa final'!#REF!),"")</f>
        <v>#REF!</v>
      </c>
      <c r="V47" s="65" t="str">
        <f>IF(AND('Mapa final'!$Y$14="Muy Baja",'Mapa final'!$AA$14="Moderado"),CONCATENATE("R2C",'Mapa final'!$O$14),"")</f>
        <v/>
      </c>
      <c r="W47" s="66" t="str">
        <f>IF(AND('Mapa final'!$Y$15="Muy Baja",'Mapa final'!$AA$15="Moderado"),CONCATENATE("R2C",'Mapa final'!$O$15),"")</f>
        <v/>
      </c>
      <c r="X47" s="66" t="str">
        <f>IF(AND('Mapa final'!$Y$16="Muy Baja",'Mapa final'!$AA$16="Moderado"),CONCATENATE("R2C",'Mapa final'!$O$16),"")</f>
        <v/>
      </c>
      <c r="Y47" s="66" t="str">
        <f>IF(AND('Mapa final'!$Y$17="Muy Baja",'Mapa final'!$AA$17="Moderado"),CONCATENATE("R2C",'Mapa final'!$O$17),"")</f>
        <v/>
      </c>
      <c r="Z47" s="66" t="e">
        <f>IF(AND('Mapa final'!#REF!="Muy Baja",'Mapa final'!#REF!="Moderado"),CONCATENATE("R2C",'Mapa final'!#REF!),"")</f>
        <v>#REF!</v>
      </c>
      <c r="AA47" s="67" t="e">
        <f>IF(AND('Mapa final'!#REF!="Muy Baja",'Mapa final'!#REF!="Moderado"),CONCATENATE("R2C",'Mapa final'!#REF!),"")</f>
        <v>#REF!</v>
      </c>
      <c r="AB47" s="50" t="str">
        <f>IF(AND('Mapa final'!$Y$14="Muy Baja",'Mapa final'!$AA$14="Mayor"),CONCATENATE("R2C",'Mapa final'!$O$14),"")</f>
        <v/>
      </c>
      <c r="AC47" s="51" t="str">
        <f>IF(AND('Mapa final'!$Y$15="Muy Baja",'Mapa final'!$AA$15="Mayor"),CONCATENATE("R2C",'Mapa final'!$O$15),"")</f>
        <v/>
      </c>
      <c r="AD47" s="51" t="str">
        <f>IF(AND('Mapa final'!$Y$16="Muy Baja",'Mapa final'!$AA$16="Mayor"),CONCATENATE("R2C",'Mapa final'!$O$16),"")</f>
        <v/>
      </c>
      <c r="AE47" s="51" t="str">
        <f>IF(AND('Mapa final'!$Y$17="Muy Baja",'Mapa final'!$AA$17="Mayor"),CONCATENATE("R2C",'Mapa final'!$O$17),"")</f>
        <v/>
      </c>
      <c r="AF47" s="51" t="e">
        <f>IF(AND('Mapa final'!#REF!="Muy Baja",'Mapa final'!#REF!="Mayor"),CONCATENATE("R2C",'Mapa final'!#REF!),"")</f>
        <v>#REF!</v>
      </c>
      <c r="AG47" s="52" t="e">
        <f>IF(AND('Mapa final'!#REF!="Muy Baja",'Mapa final'!#REF!="Mayor"),CONCATENATE("R2C",'Mapa final'!#REF!),"")</f>
        <v>#REF!</v>
      </c>
      <c r="AH47" s="53" t="str">
        <f>IF(AND('Mapa final'!$Y$14="Muy Baja",'Mapa final'!$AA$14="Catastrófico"),CONCATENATE("R2C",'Mapa final'!$O$14),"")</f>
        <v/>
      </c>
      <c r="AI47" s="54" t="str">
        <f>IF(AND('Mapa final'!$Y$15="Muy Baja",'Mapa final'!$AA$15="Catastrófico"),CONCATENATE("R2C",'Mapa final'!$O$15),"")</f>
        <v/>
      </c>
      <c r="AJ47" s="54" t="str">
        <f>IF(AND('Mapa final'!$Y$16="Muy Baja",'Mapa final'!$AA$16="Catastrófico"),CONCATENATE("R2C",'Mapa final'!$O$16),"")</f>
        <v/>
      </c>
      <c r="AK47" s="54" t="str">
        <f>IF(AND('Mapa final'!$Y$17="Muy Baja",'Mapa final'!$AA$17="Catastrófico"),CONCATENATE("R2C",'Mapa final'!$O$17),"")</f>
        <v/>
      </c>
      <c r="AL47" s="54" t="e">
        <f>IF(AND('Mapa final'!#REF!="Muy Baja",'Mapa final'!#REF!="Catastrófico"),CONCATENATE("R2C",'Mapa final'!#REF!),"")</f>
        <v>#REF!</v>
      </c>
      <c r="AM47" s="55" t="e">
        <f>IF(AND('Mapa final'!#REF!="Muy Baja",'Mapa final'!#REF!="Catastrófico"),CONCATENATE("R2C",'Mapa final'!#REF!),"")</f>
        <v>#REF!</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289"/>
      <c r="C48" s="289"/>
      <c r="D48" s="290"/>
      <c r="E48" s="346"/>
      <c r="F48" s="331"/>
      <c r="G48" s="331"/>
      <c r="H48" s="331"/>
      <c r="I48" s="332"/>
      <c r="J48" s="74" t="str">
        <f>IF(AND('Mapa final'!$Y$18="Muy Baja",'Mapa final'!$AA$18="Leve"),CONCATENATE("R3C",'Mapa final'!$O$18),"")</f>
        <v/>
      </c>
      <c r="K48" s="75" t="str">
        <f>IF(AND('Mapa final'!$Y$19="Muy Baja",'Mapa final'!$AA$19="Leve"),CONCATENATE("R3C",'Mapa final'!$O$19),"")</f>
        <v/>
      </c>
      <c r="L48" s="75" t="e">
        <f>IF(AND('Mapa final'!#REF!="Muy Baja",'Mapa final'!#REF!="Leve"),CONCATENATE("R3C",'Mapa final'!#REF!),"")</f>
        <v>#REF!</v>
      </c>
      <c r="M48" s="75" t="e">
        <f>IF(AND('Mapa final'!#REF!="Muy Baja",'Mapa final'!#REF!="Leve"),CONCATENATE("R3C",'Mapa final'!#REF!),"")</f>
        <v>#REF!</v>
      </c>
      <c r="N48" s="75" t="e">
        <f>IF(AND('Mapa final'!#REF!="Muy Baja",'Mapa final'!#REF!="Leve"),CONCATENATE("R3C",'Mapa final'!#REF!),"")</f>
        <v>#REF!</v>
      </c>
      <c r="O48" s="76" t="e">
        <f>IF(AND('Mapa final'!#REF!="Muy Baja",'Mapa final'!#REF!="Leve"),CONCATENATE("R3C",'Mapa final'!#REF!),"")</f>
        <v>#REF!</v>
      </c>
      <c r="P48" s="74" t="str">
        <f>IF(AND('Mapa final'!$Y$18="Muy Baja",'Mapa final'!$AA$18="Menor"),CONCATENATE("R3C",'Mapa final'!$O$18),"")</f>
        <v/>
      </c>
      <c r="Q48" s="75" t="str">
        <f>IF(AND('Mapa final'!$Y$19="Muy Baja",'Mapa final'!$AA$19="Menor"),CONCATENATE("R3C",'Mapa final'!$O$19),"")</f>
        <v/>
      </c>
      <c r="R48" s="75" t="e">
        <f>IF(AND('Mapa final'!#REF!="Muy Baja",'Mapa final'!#REF!="Menor"),CONCATENATE("R3C",'Mapa final'!#REF!),"")</f>
        <v>#REF!</v>
      </c>
      <c r="S48" s="75" t="e">
        <f>IF(AND('Mapa final'!#REF!="Muy Baja",'Mapa final'!#REF!="Menor"),CONCATENATE("R3C",'Mapa final'!#REF!),"")</f>
        <v>#REF!</v>
      </c>
      <c r="T48" s="75" t="e">
        <f>IF(AND('Mapa final'!#REF!="Muy Baja",'Mapa final'!#REF!="Menor"),CONCATENATE("R3C",'Mapa final'!#REF!),"")</f>
        <v>#REF!</v>
      </c>
      <c r="U48" s="76" t="e">
        <f>IF(AND('Mapa final'!#REF!="Muy Baja",'Mapa final'!#REF!="Menor"),CONCATENATE("R3C",'Mapa final'!#REF!),"")</f>
        <v>#REF!</v>
      </c>
      <c r="V48" s="65" t="str">
        <f>IF(AND('Mapa final'!$Y$18="Muy Baja",'Mapa final'!$AA$18="Moderado"),CONCATENATE("R3C",'Mapa final'!$O$18),"")</f>
        <v/>
      </c>
      <c r="W48" s="66" t="str">
        <f>IF(AND('Mapa final'!$Y$19="Muy Baja",'Mapa final'!$AA$19="Moderado"),CONCATENATE("R3C",'Mapa final'!$O$19),"")</f>
        <v/>
      </c>
      <c r="X48" s="66" t="e">
        <f>IF(AND('Mapa final'!#REF!="Muy Baja",'Mapa final'!#REF!="Moderado"),CONCATENATE("R3C",'Mapa final'!#REF!),"")</f>
        <v>#REF!</v>
      </c>
      <c r="Y48" s="66" t="e">
        <f>IF(AND('Mapa final'!#REF!="Muy Baja",'Mapa final'!#REF!="Moderado"),CONCATENATE("R3C",'Mapa final'!#REF!),"")</f>
        <v>#REF!</v>
      </c>
      <c r="Z48" s="66" t="e">
        <f>IF(AND('Mapa final'!#REF!="Muy Baja",'Mapa final'!#REF!="Moderado"),CONCATENATE("R3C",'Mapa final'!#REF!),"")</f>
        <v>#REF!</v>
      </c>
      <c r="AA48" s="67" t="e">
        <f>IF(AND('Mapa final'!#REF!="Muy Baja",'Mapa final'!#REF!="Moderado"),CONCATENATE("R3C",'Mapa final'!#REF!),"")</f>
        <v>#REF!</v>
      </c>
      <c r="AB48" s="50" t="str">
        <f>IF(AND('Mapa final'!$Y$18="Muy Baja",'Mapa final'!$AA$18="Mayor"),CONCATENATE("R3C",'Mapa final'!$O$18),"")</f>
        <v/>
      </c>
      <c r="AC48" s="51" t="str">
        <f>IF(AND('Mapa final'!$Y$19="Muy Baja",'Mapa final'!$AA$19="Mayor"),CONCATENATE("R3C",'Mapa final'!$O$19),"")</f>
        <v/>
      </c>
      <c r="AD48" s="51" t="e">
        <f>IF(AND('Mapa final'!#REF!="Muy Baja",'Mapa final'!#REF!="Mayor"),CONCATENATE("R3C",'Mapa final'!#REF!),"")</f>
        <v>#REF!</v>
      </c>
      <c r="AE48" s="51" t="e">
        <f>IF(AND('Mapa final'!#REF!="Muy Baja",'Mapa final'!#REF!="Mayor"),CONCATENATE("R3C",'Mapa final'!#REF!),"")</f>
        <v>#REF!</v>
      </c>
      <c r="AF48" s="51" t="e">
        <f>IF(AND('Mapa final'!#REF!="Muy Baja",'Mapa final'!#REF!="Mayor"),CONCATENATE("R3C",'Mapa final'!#REF!),"")</f>
        <v>#REF!</v>
      </c>
      <c r="AG48" s="52" t="e">
        <f>IF(AND('Mapa final'!#REF!="Muy Baja",'Mapa final'!#REF!="Mayor"),CONCATENATE("R3C",'Mapa final'!#REF!),"")</f>
        <v>#REF!</v>
      </c>
      <c r="AH48" s="53" t="str">
        <f>IF(AND('Mapa final'!$Y$18="Muy Baja",'Mapa final'!$AA$18="Catastrófico"),CONCATENATE("R3C",'Mapa final'!$O$18),"")</f>
        <v/>
      </c>
      <c r="AI48" s="54" t="str">
        <f>IF(AND('Mapa final'!$Y$19="Muy Baja",'Mapa final'!$AA$19="Catastrófico"),CONCATENATE("R3C",'Mapa final'!$O$19),"")</f>
        <v/>
      </c>
      <c r="AJ48" s="54" t="e">
        <f>IF(AND('Mapa final'!#REF!="Muy Baja",'Mapa final'!#REF!="Catastrófico"),CONCATENATE("R3C",'Mapa final'!#REF!),"")</f>
        <v>#REF!</v>
      </c>
      <c r="AK48" s="54" t="e">
        <f>IF(AND('Mapa final'!#REF!="Muy Baja",'Mapa final'!#REF!="Catastrófico"),CONCATENATE("R3C",'Mapa final'!#REF!),"")</f>
        <v>#REF!</v>
      </c>
      <c r="AL48" s="54" t="e">
        <f>IF(AND('Mapa final'!#REF!="Muy Baja",'Mapa final'!#REF!="Catastrófico"),CONCATENATE("R3C",'Mapa final'!#REF!),"")</f>
        <v>#REF!</v>
      </c>
      <c r="AM48" s="55" t="e">
        <f>IF(AND('Mapa final'!#REF!="Muy Baja",'Mapa final'!#REF!="Catastrófico"),CONCATENATE("R3C",'Mapa final'!#REF!),"")</f>
        <v>#REF!</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289"/>
      <c r="C49" s="289"/>
      <c r="D49" s="290"/>
      <c r="E49" s="330"/>
      <c r="F49" s="331"/>
      <c r="G49" s="331"/>
      <c r="H49" s="331"/>
      <c r="I49" s="332"/>
      <c r="J49" s="74" t="str">
        <f>IF(AND('Mapa final'!$Y$20="Muy Baja",'Mapa final'!$AA$20="Leve"),CONCATENATE("R4C",'Mapa final'!$O$20),"")</f>
        <v/>
      </c>
      <c r="K49" s="75" t="str">
        <f>IF(AND('Mapa final'!$Y$21="Muy Baja",'Mapa final'!$AA$21="Leve"),CONCATENATE("R4C",'Mapa final'!$O$21),"")</f>
        <v/>
      </c>
      <c r="L49" s="75" t="str">
        <f>IF(AND('Mapa final'!$Y$22="Muy Baja",'Mapa final'!$AA$22="Leve"),CONCATENATE("R4C",'Mapa final'!$O$22),"")</f>
        <v/>
      </c>
      <c r="M49" s="75" t="str">
        <f>IF(AND('Mapa final'!$Y$23="Muy Baja",'Mapa final'!$AA$23="Leve"),CONCATENATE("R4C",'Mapa final'!$O$23),"")</f>
        <v/>
      </c>
      <c r="N49" s="75" t="e">
        <f>IF(AND('Mapa final'!#REF!="Muy Baja",'Mapa final'!#REF!="Leve"),CONCATENATE("R4C",'Mapa final'!#REF!),"")</f>
        <v>#REF!</v>
      </c>
      <c r="O49" s="76" t="e">
        <f>IF(AND('Mapa final'!#REF!="Muy Baja",'Mapa final'!#REF!="Leve"),CONCATENATE("R4C",'Mapa final'!#REF!),"")</f>
        <v>#REF!</v>
      </c>
      <c r="P49" s="74" t="str">
        <f>IF(AND('Mapa final'!$Y$20="Muy Baja",'Mapa final'!$AA$20="Menor"),CONCATENATE("R4C",'Mapa final'!$O$20),"")</f>
        <v/>
      </c>
      <c r="Q49" s="75" t="str">
        <f>IF(AND('Mapa final'!$Y$21="Muy Baja",'Mapa final'!$AA$21="Menor"),CONCATENATE("R4C",'Mapa final'!$O$21),"")</f>
        <v/>
      </c>
      <c r="R49" s="75" t="str">
        <f>IF(AND('Mapa final'!$Y$22="Muy Baja",'Mapa final'!$AA$22="Menor"),CONCATENATE("R4C",'Mapa final'!$O$22),"")</f>
        <v/>
      </c>
      <c r="S49" s="75" t="str">
        <f>IF(AND('Mapa final'!$Y$23="Muy Baja",'Mapa final'!$AA$23="Menor"),CONCATENATE("R4C",'Mapa final'!$O$23),"")</f>
        <v/>
      </c>
      <c r="T49" s="75" t="e">
        <f>IF(AND('Mapa final'!#REF!="Muy Baja",'Mapa final'!#REF!="Menor"),CONCATENATE("R4C",'Mapa final'!#REF!),"")</f>
        <v>#REF!</v>
      </c>
      <c r="U49" s="76" t="e">
        <f>IF(AND('Mapa final'!#REF!="Muy Baja",'Mapa final'!#REF!="Menor"),CONCATENATE("R4C",'Mapa final'!#REF!),"")</f>
        <v>#REF!</v>
      </c>
      <c r="V49" s="65" t="str">
        <f>IF(AND('Mapa final'!$Y$20="Muy Baja",'Mapa final'!$AA$20="Moderado"),CONCATENATE("R4C",'Mapa final'!$O$20),"")</f>
        <v/>
      </c>
      <c r="W49" s="66" t="str">
        <f>IF(AND('Mapa final'!$Y$21="Muy Baja",'Mapa final'!$AA$21="Moderado"),CONCATENATE("R4C",'Mapa final'!$O$21),"")</f>
        <v/>
      </c>
      <c r="X49" s="66" t="str">
        <f>IF(AND('Mapa final'!$Y$22="Muy Baja",'Mapa final'!$AA$22="Moderado"),CONCATENATE("R4C",'Mapa final'!$O$22),"")</f>
        <v/>
      </c>
      <c r="Y49" s="66" t="str">
        <f>IF(AND('Mapa final'!$Y$23="Muy Baja",'Mapa final'!$AA$23="Moderado"),CONCATENATE("R4C",'Mapa final'!$O$23),"")</f>
        <v/>
      </c>
      <c r="Z49" s="66" t="e">
        <f>IF(AND('Mapa final'!#REF!="Muy Baja",'Mapa final'!#REF!="Moderado"),CONCATENATE("R4C",'Mapa final'!#REF!),"")</f>
        <v>#REF!</v>
      </c>
      <c r="AA49" s="67" t="e">
        <f>IF(AND('Mapa final'!#REF!="Muy Baja",'Mapa final'!#REF!="Moderado"),CONCATENATE("R4C",'Mapa final'!#REF!),"")</f>
        <v>#REF!</v>
      </c>
      <c r="AB49" s="50" t="str">
        <f>IF(AND('Mapa final'!$Y$20="Muy Baja",'Mapa final'!$AA$20="Mayor"),CONCATENATE("R4C",'Mapa final'!$O$20),"")</f>
        <v/>
      </c>
      <c r="AC49" s="51" t="str">
        <f>IF(AND('Mapa final'!$Y$21="Muy Baja",'Mapa final'!$AA$21="Mayor"),CONCATENATE("R4C",'Mapa final'!$O$21),"")</f>
        <v/>
      </c>
      <c r="AD49" s="51" t="str">
        <f>IF(AND('Mapa final'!$Y$22="Muy Baja",'Mapa final'!$AA$22="Mayor"),CONCATENATE("R4C",'Mapa final'!$O$22),"")</f>
        <v/>
      </c>
      <c r="AE49" s="51" t="str">
        <f>IF(AND('Mapa final'!$Y$23="Muy Baja",'Mapa final'!$AA$23="Mayor"),CONCATENATE("R4C",'Mapa final'!$O$23),"")</f>
        <v/>
      </c>
      <c r="AF49" s="51" t="e">
        <f>IF(AND('Mapa final'!#REF!="Muy Baja",'Mapa final'!#REF!="Mayor"),CONCATENATE("R4C",'Mapa final'!#REF!),"")</f>
        <v>#REF!</v>
      </c>
      <c r="AG49" s="52" t="e">
        <f>IF(AND('Mapa final'!#REF!="Muy Baja",'Mapa final'!#REF!="Mayor"),CONCATENATE("R4C",'Mapa final'!#REF!),"")</f>
        <v>#REF!</v>
      </c>
      <c r="AH49" s="53" t="str">
        <f>IF(AND('Mapa final'!$Y$20="Muy Baja",'Mapa final'!$AA$20="Catastrófico"),CONCATENATE("R4C",'Mapa final'!$O$20),"")</f>
        <v/>
      </c>
      <c r="AI49" s="54" t="str">
        <f>IF(AND('Mapa final'!$Y$21="Muy Baja",'Mapa final'!$AA$21="Catastrófico"),CONCATENATE("R4C",'Mapa final'!$O$21),"")</f>
        <v/>
      </c>
      <c r="AJ49" s="54" t="str">
        <f>IF(AND('Mapa final'!$Y$22="Muy Baja",'Mapa final'!$AA$22="Catastrófico"),CONCATENATE("R4C",'Mapa final'!$O$22),"")</f>
        <v/>
      </c>
      <c r="AK49" s="54" t="str">
        <f>IF(AND('Mapa final'!$Y$23="Muy Baja",'Mapa final'!$AA$23="Catastrófico"),CONCATENATE("R4C",'Mapa final'!$O$23),"")</f>
        <v/>
      </c>
      <c r="AL49" s="54" t="e">
        <f>IF(AND('Mapa final'!#REF!="Muy Baja",'Mapa final'!#REF!="Catastrófico"),CONCATENATE("R4C",'Mapa final'!#REF!),"")</f>
        <v>#REF!</v>
      </c>
      <c r="AM49" s="55" t="e">
        <f>IF(AND('Mapa final'!#REF!="Muy Baja",'Mapa final'!#REF!="Catastrófico"),CONCATENATE("R4C",'Mapa final'!#REF!),"")</f>
        <v>#REF!</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289"/>
      <c r="C50" s="289"/>
      <c r="D50" s="290"/>
      <c r="E50" s="330"/>
      <c r="F50" s="331"/>
      <c r="G50" s="331"/>
      <c r="H50" s="331"/>
      <c r="I50" s="332"/>
      <c r="J50" s="74" t="str">
        <f>IF(AND('Mapa final'!$Y$24="Muy Baja",'Mapa final'!$AA$24="Leve"),CONCATENATE("R5C",'Mapa final'!$O$24),"")</f>
        <v/>
      </c>
      <c r="K50" s="75" t="str">
        <f>IF(AND('Mapa final'!$Y$25="Muy Baja",'Mapa final'!$AA$25="Leve"),CONCATENATE("R5C",'Mapa final'!$O$25),"")</f>
        <v/>
      </c>
      <c r="L50" s="75" t="str">
        <f>IF(AND('Mapa final'!$Y$26="Muy Baja",'Mapa final'!$AA$26="Leve"),CONCATENATE("R5C",'Mapa final'!$O$26),"")</f>
        <v/>
      </c>
      <c r="M50" s="75" t="str">
        <f>IF(AND('Mapa final'!$Y$27="Muy Baja",'Mapa final'!$AA$27="Leve"),CONCATENATE("R5C",'Mapa final'!$O$27),"")</f>
        <v/>
      </c>
      <c r="N50" s="75" t="str">
        <f>IF(AND('Mapa final'!$Y$28="Muy Baja",'Mapa final'!$AA$28="Leve"),CONCATENATE("R5C",'Mapa final'!$O$28),"")</f>
        <v/>
      </c>
      <c r="O50" s="76" t="str">
        <f>IF(AND('Mapa final'!$Y$29="Muy Baja",'Mapa final'!$AA$29="Leve"),CONCATENATE("R5C",'Mapa final'!$O$29),"")</f>
        <v/>
      </c>
      <c r="P50" s="74" t="str">
        <f>IF(AND('Mapa final'!$Y$24="Muy Baja",'Mapa final'!$AA$24="Menor"),CONCATENATE("R5C",'Mapa final'!$O$24),"")</f>
        <v/>
      </c>
      <c r="Q50" s="75" t="str">
        <f>IF(AND('Mapa final'!$Y$25="Muy Baja",'Mapa final'!$AA$25="Menor"),CONCATENATE("R5C",'Mapa final'!$O$25),"")</f>
        <v/>
      </c>
      <c r="R50" s="75" t="str">
        <f>IF(AND('Mapa final'!$Y$26="Muy Baja",'Mapa final'!$AA$26="Menor"),CONCATENATE("R5C",'Mapa final'!$O$26),"")</f>
        <v/>
      </c>
      <c r="S50" s="75" t="str">
        <f>IF(AND('Mapa final'!$Y$27="Muy Baja",'Mapa final'!$AA$27="Menor"),CONCATENATE("R5C",'Mapa final'!$O$27),"")</f>
        <v/>
      </c>
      <c r="T50" s="75" t="str">
        <f>IF(AND('Mapa final'!$Y$28="Muy Baja",'Mapa final'!$AA$28="Menor"),CONCATENATE("R5C",'Mapa final'!$O$28),"")</f>
        <v/>
      </c>
      <c r="U50" s="76" t="str">
        <f>IF(AND('Mapa final'!$Y$29="Muy Baja",'Mapa final'!$AA$29="Menor"),CONCATENATE("R5C",'Mapa final'!$O$29),"")</f>
        <v/>
      </c>
      <c r="V50" s="65" t="str">
        <f>IF(AND('Mapa final'!$Y$24="Muy Baja",'Mapa final'!$AA$24="Moderado"),CONCATENATE("R5C",'Mapa final'!$O$24),"")</f>
        <v/>
      </c>
      <c r="W50" s="66" t="str">
        <f>IF(AND('Mapa final'!$Y$25="Muy Baja",'Mapa final'!$AA$25="Moderado"),CONCATENATE("R5C",'Mapa final'!$O$25),"")</f>
        <v/>
      </c>
      <c r="X50" s="66" t="str">
        <f>IF(AND('Mapa final'!$Y$26="Muy Baja",'Mapa final'!$AA$26="Moderado"),CONCATENATE("R5C",'Mapa final'!$O$26),"")</f>
        <v/>
      </c>
      <c r="Y50" s="66" t="str">
        <f>IF(AND('Mapa final'!$Y$27="Muy Baja",'Mapa final'!$AA$27="Moderado"),CONCATENATE("R5C",'Mapa final'!$O$27),"")</f>
        <v/>
      </c>
      <c r="Z50" s="66" t="str">
        <f>IF(AND('Mapa final'!$Y$28="Muy Baja",'Mapa final'!$AA$28="Moderado"),CONCATENATE("R5C",'Mapa final'!$O$28),"")</f>
        <v/>
      </c>
      <c r="AA50" s="67" t="str">
        <f>IF(AND('Mapa final'!$Y$29="Muy Baja",'Mapa final'!$AA$29="Moderado"),CONCATENATE("R5C",'Mapa final'!$O$29),"")</f>
        <v/>
      </c>
      <c r="AB50" s="50" t="str">
        <f>IF(AND('Mapa final'!$Y$24="Muy Baja",'Mapa final'!$AA$24="Mayor"),CONCATENATE("R5C",'Mapa final'!$O$24),"")</f>
        <v/>
      </c>
      <c r="AC50" s="51" t="str">
        <f>IF(AND('Mapa final'!$Y$25="Muy Baja",'Mapa final'!$AA$25="Mayor"),CONCATENATE("R5C",'Mapa final'!$O$25),"")</f>
        <v/>
      </c>
      <c r="AD50" s="51" t="str">
        <f>IF(AND('Mapa final'!$Y$26="Muy Baja",'Mapa final'!$AA$26="Mayor"),CONCATENATE("R5C",'Mapa final'!$O$26),"")</f>
        <v/>
      </c>
      <c r="AE50" s="51" t="str">
        <f>IF(AND('Mapa final'!$Y$27="Muy Baja",'Mapa final'!$AA$27="Mayor"),CONCATENATE("R5C",'Mapa final'!$O$27),"")</f>
        <v/>
      </c>
      <c r="AF50" s="51" t="str">
        <f>IF(AND('Mapa final'!$Y$28="Muy Baja",'Mapa final'!$AA$28="Mayor"),CONCATENATE("R5C",'Mapa final'!$O$28),"")</f>
        <v/>
      </c>
      <c r="AG50" s="52" t="str">
        <f>IF(AND('Mapa final'!$Y$29="Muy Baja",'Mapa final'!$AA$29="Mayor"),CONCATENATE("R5C",'Mapa final'!$O$29),"")</f>
        <v/>
      </c>
      <c r="AH50" s="53" t="str">
        <f>IF(AND('Mapa final'!$Y$24="Muy Baja",'Mapa final'!$AA$24="Catastrófico"),CONCATENATE("R5C",'Mapa final'!$O$24),"")</f>
        <v/>
      </c>
      <c r="AI50" s="54" t="str">
        <f>IF(AND('Mapa final'!$Y$25="Muy Baja",'Mapa final'!$AA$25="Catastrófico"),CONCATENATE("R5C",'Mapa final'!$O$25),"")</f>
        <v/>
      </c>
      <c r="AJ50" s="54" t="str">
        <f>IF(AND('Mapa final'!$Y$26="Muy Baja",'Mapa final'!$AA$26="Catastrófico"),CONCATENATE("R5C",'Mapa final'!$O$26),"")</f>
        <v/>
      </c>
      <c r="AK50" s="54" t="str">
        <f>IF(AND('Mapa final'!$Y$27="Muy Baja",'Mapa final'!$AA$27="Catastrófico"),CONCATENATE("R5C",'Mapa final'!$O$27),"")</f>
        <v/>
      </c>
      <c r="AL50" s="54" t="str">
        <f>IF(AND('Mapa final'!$Y$28="Muy Baja",'Mapa final'!$AA$28="Catastrófico"),CONCATENATE("R5C",'Mapa final'!$O$28),"")</f>
        <v/>
      </c>
      <c r="AM50" s="55" t="str">
        <f>IF(AND('Mapa final'!$Y$29="Muy Baja",'Mapa final'!$AA$29="Catastrófico"),CONCATENATE("R5C",'Mapa final'!$O$29),"")</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289"/>
      <c r="C51" s="289"/>
      <c r="D51" s="290"/>
      <c r="E51" s="330"/>
      <c r="F51" s="331"/>
      <c r="G51" s="331"/>
      <c r="H51" s="331"/>
      <c r="I51" s="332"/>
      <c r="J51" s="74" t="str">
        <f>IF(AND('Mapa final'!$Y$30="Muy Baja",'Mapa final'!$AA$30="Leve"),CONCATENATE("R6C",'Mapa final'!$O$30),"")</f>
        <v/>
      </c>
      <c r="K51" s="75" t="str">
        <f>IF(AND('Mapa final'!$Y$31="Muy Baja",'Mapa final'!$AA$31="Leve"),CONCATENATE("R6C",'Mapa final'!$O$31),"")</f>
        <v/>
      </c>
      <c r="L51" s="75" t="str">
        <f>IF(AND('Mapa final'!$Y$32="Muy Baja",'Mapa final'!$AA$32="Leve"),CONCATENATE("R6C",'Mapa final'!$O$32),"")</f>
        <v/>
      </c>
      <c r="M51" s="75" t="str">
        <f>IF(AND('Mapa final'!$Y$33="Muy Baja",'Mapa final'!$AA$33="Leve"),CONCATENATE("R6C",'Mapa final'!$O$33),"")</f>
        <v/>
      </c>
      <c r="N51" s="75" t="str">
        <f>IF(AND('Mapa final'!$Y$34="Muy Baja",'Mapa final'!$AA$34="Leve"),CONCATENATE("R6C",'Mapa final'!$O$34),"")</f>
        <v/>
      </c>
      <c r="O51" s="76" t="str">
        <f>IF(AND('Mapa final'!$Y$35="Muy Baja",'Mapa final'!$AA$35="Leve"),CONCATENATE("R6C",'Mapa final'!$O$35),"")</f>
        <v/>
      </c>
      <c r="P51" s="74" t="str">
        <f>IF(AND('Mapa final'!$Y$30="Muy Baja",'Mapa final'!$AA$30="Menor"),CONCATENATE("R6C",'Mapa final'!$O$30),"")</f>
        <v/>
      </c>
      <c r="Q51" s="75" t="str">
        <f>IF(AND('Mapa final'!$Y$31="Muy Baja",'Mapa final'!$AA$31="Menor"),CONCATENATE("R6C",'Mapa final'!$O$31),"")</f>
        <v/>
      </c>
      <c r="R51" s="75" t="str">
        <f>IF(AND('Mapa final'!$Y$32="Muy Baja",'Mapa final'!$AA$32="Menor"),CONCATENATE("R6C",'Mapa final'!$O$32),"")</f>
        <v/>
      </c>
      <c r="S51" s="75" t="str">
        <f>IF(AND('Mapa final'!$Y$33="Muy Baja",'Mapa final'!$AA$33="Menor"),CONCATENATE("R6C",'Mapa final'!$O$33),"")</f>
        <v/>
      </c>
      <c r="T51" s="75" t="str">
        <f>IF(AND('Mapa final'!$Y$34="Muy Baja",'Mapa final'!$AA$34="Menor"),CONCATENATE("R6C",'Mapa final'!$O$34),"")</f>
        <v/>
      </c>
      <c r="U51" s="76" t="str">
        <f>IF(AND('Mapa final'!$Y$35="Muy Baja",'Mapa final'!$AA$35="Menor"),CONCATENATE("R6C",'Mapa final'!$O$35),"")</f>
        <v/>
      </c>
      <c r="V51" s="65" t="str">
        <f>IF(AND('Mapa final'!$Y$30="Muy Baja",'Mapa final'!$AA$30="Moderado"),CONCATENATE("R6C",'Mapa final'!$O$30),"")</f>
        <v/>
      </c>
      <c r="W51" s="66" t="str">
        <f>IF(AND('Mapa final'!$Y$31="Muy Baja",'Mapa final'!$AA$31="Moderado"),CONCATENATE("R6C",'Mapa final'!$O$31),"")</f>
        <v/>
      </c>
      <c r="X51" s="66" t="str">
        <f>IF(AND('Mapa final'!$Y$32="Muy Baja",'Mapa final'!$AA$32="Moderado"),CONCATENATE("R6C",'Mapa final'!$O$32),"")</f>
        <v/>
      </c>
      <c r="Y51" s="66" t="str">
        <f>IF(AND('Mapa final'!$Y$33="Muy Baja",'Mapa final'!$AA$33="Moderado"),CONCATENATE("R6C",'Mapa final'!$O$33),"")</f>
        <v/>
      </c>
      <c r="Z51" s="66" t="str">
        <f>IF(AND('Mapa final'!$Y$34="Muy Baja",'Mapa final'!$AA$34="Moderado"),CONCATENATE("R6C",'Mapa final'!$O$34),"")</f>
        <v/>
      </c>
      <c r="AA51" s="67" t="str">
        <f>IF(AND('Mapa final'!$Y$35="Muy Baja",'Mapa final'!$AA$35="Moderado"),CONCATENATE("R6C",'Mapa final'!$O$35),"")</f>
        <v/>
      </c>
      <c r="AB51" s="50" t="str">
        <f>IF(AND('Mapa final'!$Y$30="Muy Baja",'Mapa final'!$AA$30="Mayor"),CONCATENATE("R6C",'Mapa final'!$O$30),"")</f>
        <v/>
      </c>
      <c r="AC51" s="51" t="str">
        <f>IF(AND('Mapa final'!$Y$31="Muy Baja",'Mapa final'!$AA$31="Mayor"),CONCATENATE("R6C",'Mapa final'!$O$31),"")</f>
        <v/>
      </c>
      <c r="AD51" s="51" t="str">
        <f>IF(AND('Mapa final'!$Y$32="Muy Baja",'Mapa final'!$AA$32="Mayor"),CONCATENATE("R6C",'Mapa final'!$O$32),"")</f>
        <v/>
      </c>
      <c r="AE51" s="51" t="str">
        <f>IF(AND('Mapa final'!$Y$33="Muy Baja",'Mapa final'!$AA$33="Mayor"),CONCATENATE("R6C",'Mapa final'!$O$33),"")</f>
        <v/>
      </c>
      <c r="AF51" s="51" t="str">
        <f>IF(AND('Mapa final'!$Y$34="Muy Baja",'Mapa final'!$AA$34="Mayor"),CONCATENATE("R6C",'Mapa final'!$O$34),"")</f>
        <v/>
      </c>
      <c r="AG51" s="52" t="str">
        <f>IF(AND('Mapa final'!$Y$35="Muy Baja",'Mapa final'!$AA$35="Mayor"),CONCATENATE("R6C",'Mapa final'!$O$35),"")</f>
        <v/>
      </c>
      <c r="AH51" s="53" t="str">
        <f>IF(AND('Mapa final'!$Y$30="Muy Baja",'Mapa final'!$AA$30="Catastrófico"),CONCATENATE("R6C",'Mapa final'!$O$30),"")</f>
        <v/>
      </c>
      <c r="AI51" s="54" t="str">
        <f>IF(AND('Mapa final'!$Y$31="Muy Baja",'Mapa final'!$AA$31="Catastrófico"),CONCATENATE("R6C",'Mapa final'!$O$31),"")</f>
        <v/>
      </c>
      <c r="AJ51" s="54" t="str">
        <f>IF(AND('Mapa final'!$Y$32="Muy Baja",'Mapa final'!$AA$32="Catastrófico"),CONCATENATE("R6C",'Mapa final'!$O$32),"")</f>
        <v/>
      </c>
      <c r="AK51" s="54" t="str">
        <f>IF(AND('Mapa final'!$Y$33="Muy Baja",'Mapa final'!$AA$33="Catastrófico"),CONCATENATE("R6C",'Mapa final'!$O$33),"")</f>
        <v/>
      </c>
      <c r="AL51" s="54" t="str">
        <f>IF(AND('Mapa final'!$Y$34="Muy Baja",'Mapa final'!$AA$34="Catastrófico"),CONCATENATE("R6C",'Mapa final'!$O$34),"")</f>
        <v/>
      </c>
      <c r="AM51" s="55" t="str">
        <f>IF(AND('Mapa final'!$Y$35="Muy Baja",'Mapa final'!$AA$35="Catastrófico"),CONCATENATE("R6C",'Mapa final'!$O$35),"")</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289"/>
      <c r="C52" s="289"/>
      <c r="D52" s="290"/>
      <c r="E52" s="330"/>
      <c r="F52" s="331"/>
      <c r="G52" s="331"/>
      <c r="H52" s="331"/>
      <c r="I52" s="332"/>
      <c r="J52" s="74" t="str">
        <f>IF(AND('Mapa final'!$Y$36="Muy Baja",'Mapa final'!$AA$36="Leve"),CONCATENATE("R7C",'Mapa final'!$O$36),"")</f>
        <v/>
      </c>
      <c r="K52" s="75" t="str">
        <f>IF(AND('Mapa final'!$Y$37="Muy Baja",'Mapa final'!$AA$37="Leve"),CONCATENATE("R7C",'Mapa final'!$O$37),"")</f>
        <v/>
      </c>
      <c r="L52" s="75" t="str">
        <f>IF(AND('Mapa final'!$Y$38="Muy Baja",'Mapa final'!$AA$38="Leve"),CONCATENATE("R7C",'Mapa final'!$O$38),"")</f>
        <v/>
      </c>
      <c r="M52" s="75" t="str">
        <f>IF(AND('Mapa final'!$Y$39="Muy Baja",'Mapa final'!$AA$39="Leve"),CONCATENATE("R7C",'Mapa final'!$O$39),"")</f>
        <v/>
      </c>
      <c r="N52" s="75" t="str">
        <f>IF(AND('Mapa final'!$Y$40="Muy Baja",'Mapa final'!$AA$40="Leve"),CONCATENATE("R7C",'Mapa final'!$O$40),"")</f>
        <v/>
      </c>
      <c r="O52" s="76" t="str">
        <f>IF(AND('Mapa final'!$Y$41="Muy Baja",'Mapa final'!$AA$41="Leve"),CONCATENATE("R7C",'Mapa final'!$O$41),"")</f>
        <v/>
      </c>
      <c r="P52" s="74" t="str">
        <f>IF(AND('Mapa final'!$Y$36="Muy Baja",'Mapa final'!$AA$36="Menor"),CONCATENATE("R7C",'Mapa final'!$O$36),"")</f>
        <v/>
      </c>
      <c r="Q52" s="75" t="str">
        <f>IF(AND('Mapa final'!$Y$37="Muy Baja",'Mapa final'!$AA$37="Menor"),CONCATENATE("R7C",'Mapa final'!$O$37),"")</f>
        <v/>
      </c>
      <c r="R52" s="75" t="str">
        <f>IF(AND('Mapa final'!$Y$38="Muy Baja",'Mapa final'!$AA$38="Menor"),CONCATENATE("R7C",'Mapa final'!$O$38),"")</f>
        <v/>
      </c>
      <c r="S52" s="75" t="str">
        <f>IF(AND('Mapa final'!$Y$39="Muy Baja",'Mapa final'!$AA$39="Menor"),CONCATENATE("R7C",'Mapa final'!$O$39),"")</f>
        <v/>
      </c>
      <c r="T52" s="75" t="str">
        <f>IF(AND('Mapa final'!$Y$40="Muy Baja",'Mapa final'!$AA$40="Menor"),CONCATENATE("R7C",'Mapa final'!$O$40),"")</f>
        <v/>
      </c>
      <c r="U52" s="76" t="str">
        <f>IF(AND('Mapa final'!$Y$41="Muy Baja",'Mapa final'!$AA$41="Menor"),CONCATENATE("R7C",'Mapa final'!$O$41),"")</f>
        <v/>
      </c>
      <c r="V52" s="65" t="str">
        <f>IF(AND('Mapa final'!$Y$36="Muy Baja",'Mapa final'!$AA$36="Moderado"),CONCATENATE("R7C",'Mapa final'!$O$36),"")</f>
        <v/>
      </c>
      <c r="W52" s="66" t="str">
        <f>IF(AND('Mapa final'!$Y$37="Muy Baja",'Mapa final'!$AA$37="Moderado"),CONCATENATE("R7C",'Mapa final'!$O$37),"")</f>
        <v/>
      </c>
      <c r="X52" s="66" t="str">
        <f>IF(AND('Mapa final'!$Y$38="Muy Baja",'Mapa final'!$AA$38="Moderado"),CONCATENATE("R7C",'Mapa final'!$O$38),"")</f>
        <v/>
      </c>
      <c r="Y52" s="66" t="str">
        <f>IF(AND('Mapa final'!$Y$39="Muy Baja",'Mapa final'!$AA$39="Moderado"),CONCATENATE("R7C",'Mapa final'!$O$39),"")</f>
        <v/>
      </c>
      <c r="Z52" s="66" t="str">
        <f>IF(AND('Mapa final'!$Y$40="Muy Baja",'Mapa final'!$AA$40="Moderado"),CONCATENATE("R7C",'Mapa final'!$O$40),"")</f>
        <v/>
      </c>
      <c r="AA52" s="67" t="str">
        <f>IF(AND('Mapa final'!$Y$41="Muy Baja",'Mapa final'!$AA$41="Moderado"),CONCATENATE("R7C",'Mapa final'!$O$41),"")</f>
        <v/>
      </c>
      <c r="AB52" s="50" t="str">
        <f>IF(AND('Mapa final'!$Y$36="Muy Baja",'Mapa final'!$AA$36="Mayor"),CONCATENATE("R7C",'Mapa final'!$O$36),"")</f>
        <v/>
      </c>
      <c r="AC52" s="51" t="str">
        <f>IF(AND('Mapa final'!$Y$37="Muy Baja",'Mapa final'!$AA$37="Mayor"),CONCATENATE("R7C",'Mapa final'!$O$37),"")</f>
        <v/>
      </c>
      <c r="AD52" s="51" t="str">
        <f>IF(AND('Mapa final'!$Y$38="Muy Baja",'Mapa final'!$AA$38="Mayor"),CONCATENATE("R7C",'Mapa final'!$O$38),"")</f>
        <v/>
      </c>
      <c r="AE52" s="51" t="str">
        <f>IF(AND('Mapa final'!$Y$39="Muy Baja",'Mapa final'!$AA$39="Mayor"),CONCATENATE("R7C",'Mapa final'!$O$39),"")</f>
        <v/>
      </c>
      <c r="AF52" s="51" t="str">
        <f>IF(AND('Mapa final'!$Y$40="Muy Baja",'Mapa final'!$AA$40="Mayor"),CONCATENATE("R7C",'Mapa final'!$O$40),"")</f>
        <v/>
      </c>
      <c r="AG52" s="52" t="str">
        <f>IF(AND('Mapa final'!$Y$41="Muy Baja",'Mapa final'!$AA$41="Mayor"),CONCATENATE("R7C",'Mapa final'!$O$41),"")</f>
        <v/>
      </c>
      <c r="AH52" s="53" t="str">
        <f>IF(AND('Mapa final'!$Y$36="Muy Baja",'Mapa final'!$AA$36="Catastrófico"),CONCATENATE("R7C",'Mapa final'!$O$36),"")</f>
        <v/>
      </c>
      <c r="AI52" s="54" t="str">
        <f>IF(AND('Mapa final'!$Y$37="Muy Baja",'Mapa final'!$AA$37="Catastrófico"),CONCATENATE("R7C",'Mapa final'!$O$37),"")</f>
        <v/>
      </c>
      <c r="AJ52" s="54" t="str">
        <f>IF(AND('Mapa final'!$Y$38="Muy Baja",'Mapa final'!$AA$38="Catastrófico"),CONCATENATE("R7C",'Mapa final'!$O$38),"")</f>
        <v/>
      </c>
      <c r="AK52" s="54" t="str">
        <f>IF(AND('Mapa final'!$Y$39="Muy Baja",'Mapa final'!$AA$39="Catastrófico"),CONCATENATE("R7C",'Mapa final'!$O$39),"")</f>
        <v/>
      </c>
      <c r="AL52" s="54" t="str">
        <f>IF(AND('Mapa final'!$Y$40="Muy Baja",'Mapa final'!$AA$40="Catastrófico"),CONCATENATE("R7C",'Mapa final'!$O$40),"")</f>
        <v/>
      </c>
      <c r="AM52" s="55" t="str">
        <f>IF(AND('Mapa final'!$Y$41="Muy Baja",'Mapa final'!$AA$41="Catastrófico"),CONCATENATE("R7C",'Mapa final'!$O$41),"")</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289"/>
      <c r="C53" s="289"/>
      <c r="D53" s="290"/>
      <c r="E53" s="330"/>
      <c r="F53" s="331"/>
      <c r="G53" s="331"/>
      <c r="H53" s="331"/>
      <c r="I53" s="332"/>
      <c r="J53" s="74" t="str">
        <f>IF(AND('Mapa final'!$Y$42="Muy Baja",'Mapa final'!$AA$42="Leve"),CONCATENATE("R8C",'Mapa final'!$O$42),"")</f>
        <v/>
      </c>
      <c r="K53" s="75" t="str">
        <f>IF(AND('Mapa final'!$Y$43="Muy Baja",'Mapa final'!$AA$43="Leve"),CONCATENATE("R8C",'Mapa final'!$O$43),"")</f>
        <v/>
      </c>
      <c r="L53" s="75" t="str">
        <f>IF(AND('Mapa final'!$Y$44="Muy Baja",'Mapa final'!$AA$44="Leve"),CONCATENATE("R8C",'Mapa final'!$O$44),"")</f>
        <v/>
      </c>
      <c r="M53" s="75" t="str">
        <f>IF(AND('Mapa final'!$Y$45="Muy Baja",'Mapa final'!$AA$45="Leve"),CONCATENATE("R8C",'Mapa final'!$O$45),"")</f>
        <v/>
      </c>
      <c r="N53" s="75" t="str">
        <f>IF(AND('Mapa final'!$Y$46="Muy Baja",'Mapa final'!$AA$46="Leve"),CONCATENATE("R8C",'Mapa final'!$O$46),"")</f>
        <v/>
      </c>
      <c r="O53" s="76" t="str">
        <f>IF(AND('Mapa final'!$Y$47="Muy Baja",'Mapa final'!$AA$47="Leve"),CONCATENATE("R8C",'Mapa final'!$O$47),"")</f>
        <v/>
      </c>
      <c r="P53" s="74" t="str">
        <f>IF(AND('Mapa final'!$Y$42="Muy Baja",'Mapa final'!$AA$42="Menor"),CONCATENATE("R8C",'Mapa final'!$O$42),"")</f>
        <v/>
      </c>
      <c r="Q53" s="75" t="str">
        <f>IF(AND('Mapa final'!$Y$43="Muy Baja",'Mapa final'!$AA$43="Menor"),CONCATENATE("R8C",'Mapa final'!$O$43),"")</f>
        <v/>
      </c>
      <c r="R53" s="75" t="str">
        <f>IF(AND('Mapa final'!$Y$44="Muy Baja",'Mapa final'!$AA$44="Menor"),CONCATENATE("R8C",'Mapa final'!$O$44),"")</f>
        <v/>
      </c>
      <c r="S53" s="75" t="str">
        <f>IF(AND('Mapa final'!$Y$45="Muy Baja",'Mapa final'!$AA$45="Menor"),CONCATENATE("R8C",'Mapa final'!$O$45),"")</f>
        <v/>
      </c>
      <c r="T53" s="75" t="str">
        <f>IF(AND('Mapa final'!$Y$46="Muy Baja",'Mapa final'!$AA$46="Menor"),CONCATENATE("R8C",'Mapa final'!$O$46),"")</f>
        <v/>
      </c>
      <c r="U53" s="76" t="str">
        <f>IF(AND('Mapa final'!$Y$47="Muy Baja",'Mapa final'!$AA$47="Menor"),CONCATENATE("R8C",'Mapa final'!$O$47),"")</f>
        <v/>
      </c>
      <c r="V53" s="65" t="str">
        <f>IF(AND('Mapa final'!$Y$42="Muy Baja",'Mapa final'!$AA$42="Moderado"),CONCATENATE("R8C",'Mapa final'!$O$42),"")</f>
        <v/>
      </c>
      <c r="W53" s="66" t="str">
        <f>IF(AND('Mapa final'!$Y$43="Muy Baja",'Mapa final'!$AA$43="Moderado"),CONCATENATE("R8C",'Mapa final'!$O$43),"")</f>
        <v/>
      </c>
      <c r="X53" s="66" t="str">
        <f>IF(AND('Mapa final'!$Y$44="Muy Baja",'Mapa final'!$AA$44="Moderado"),CONCATENATE("R8C",'Mapa final'!$O$44),"")</f>
        <v/>
      </c>
      <c r="Y53" s="66" t="str">
        <f>IF(AND('Mapa final'!$Y$45="Muy Baja",'Mapa final'!$AA$45="Moderado"),CONCATENATE("R8C",'Mapa final'!$O$45),"")</f>
        <v/>
      </c>
      <c r="Z53" s="66" t="str">
        <f>IF(AND('Mapa final'!$Y$46="Muy Baja",'Mapa final'!$AA$46="Moderado"),CONCATENATE("R8C",'Mapa final'!$O$46),"")</f>
        <v/>
      </c>
      <c r="AA53" s="67" t="str">
        <f>IF(AND('Mapa final'!$Y$47="Muy Baja",'Mapa final'!$AA$47="Moderado"),CONCATENATE("R8C",'Mapa final'!$O$47),"")</f>
        <v/>
      </c>
      <c r="AB53" s="50" t="str">
        <f>IF(AND('Mapa final'!$Y$42="Muy Baja",'Mapa final'!$AA$42="Mayor"),CONCATENATE("R8C",'Mapa final'!$O$42),"")</f>
        <v/>
      </c>
      <c r="AC53" s="51" t="str">
        <f>IF(AND('Mapa final'!$Y$43="Muy Baja",'Mapa final'!$AA$43="Mayor"),CONCATENATE("R8C",'Mapa final'!$O$43),"")</f>
        <v/>
      </c>
      <c r="AD53" s="51" t="str">
        <f>IF(AND('Mapa final'!$Y$44="Muy Baja",'Mapa final'!$AA$44="Mayor"),CONCATENATE("R8C",'Mapa final'!$O$44),"")</f>
        <v/>
      </c>
      <c r="AE53" s="51" t="str">
        <f>IF(AND('Mapa final'!$Y$45="Muy Baja",'Mapa final'!$AA$45="Mayor"),CONCATENATE("R8C",'Mapa final'!$O$45),"")</f>
        <v/>
      </c>
      <c r="AF53" s="51" t="str">
        <f>IF(AND('Mapa final'!$Y$46="Muy Baja",'Mapa final'!$AA$46="Mayor"),CONCATENATE("R8C",'Mapa final'!$O$46),"")</f>
        <v/>
      </c>
      <c r="AG53" s="52" t="str">
        <f>IF(AND('Mapa final'!$Y$47="Muy Baja",'Mapa final'!$AA$47="Mayor"),CONCATENATE("R8C",'Mapa final'!$O$47),"")</f>
        <v/>
      </c>
      <c r="AH53" s="53" t="str">
        <f>IF(AND('Mapa final'!$Y$42="Muy Baja",'Mapa final'!$AA$42="Catastrófico"),CONCATENATE("R8C",'Mapa final'!$O$42),"")</f>
        <v/>
      </c>
      <c r="AI53" s="54" t="str">
        <f>IF(AND('Mapa final'!$Y$43="Muy Baja",'Mapa final'!$AA$43="Catastrófico"),CONCATENATE("R8C",'Mapa final'!$O$43),"")</f>
        <v/>
      </c>
      <c r="AJ53" s="54" t="str">
        <f>IF(AND('Mapa final'!$Y$44="Muy Baja",'Mapa final'!$AA$44="Catastrófico"),CONCATENATE("R8C",'Mapa final'!$O$44),"")</f>
        <v/>
      </c>
      <c r="AK53" s="54" t="str">
        <f>IF(AND('Mapa final'!$Y$45="Muy Baja",'Mapa final'!$AA$45="Catastrófico"),CONCATENATE("R8C",'Mapa final'!$O$45),"")</f>
        <v/>
      </c>
      <c r="AL53" s="54" t="str">
        <f>IF(AND('Mapa final'!$Y$46="Muy Baja",'Mapa final'!$AA$46="Catastrófico"),CONCATENATE("R8C",'Mapa final'!$O$46),"")</f>
        <v/>
      </c>
      <c r="AM53" s="55" t="str">
        <f>IF(AND('Mapa final'!$Y$47="Muy Baja",'Mapa final'!$AA$47="Catastrófico"),CONCATENATE("R8C",'Mapa final'!$O$47),"")</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289"/>
      <c r="C54" s="289"/>
      <c r="D54" s="290"/>
      <c r="E54" s="330"/>
      <c r="F54" s="331"/>
      <c r="G54" s="331"/>
      <c r="H54" s="331"/>
      <c r="I54" s="332"/>
      <c r="J54" s="74" t="str">
        <f>IF(AND('Mapa final'!$Y$48="Muy Baja",'Mapa final'!$AA$48="Leve"),CONCATENATE("R9C",'Mapa final'!$O$48),"")</f>
        <v/>
      </c>
      <c r="K54" s="75" t="str">
        <f>IF(AND('Mapa final'!$Y$49="Muy Baja",'Mapa final'!$AA$49="Leve"),CONCATENATE("R9C",'Mapa final'!$O$49),"")</f>
        <v/>
      </c>
      <c r="L54" s="75" t="str">
        <f>IF(AND('Mapa final'!$Y$50="Muy Baja",'Mapa final'!$AA$50="Leve"),CONCATENATE("R9C",'Mapa final'!$O$50),"")</f>
        <v/>
      </c>
      <c r="M54" s="75" t="str">
        <f>IF(AND('Mapa final'!$Y$51="Muy Baja",'Mapa final'!$AA$51="Leve"),CONCATENATE("R9C",'Mapa final'!$O$51),"")</f>
        <v/>
      </c>
      <c r="N54" s="75" t="str">
        <f>IF(AND('Mapa final'!$Y$52="Muy Baja",'Mapa final'!$AA$52="Leve"),CONCATENATE("R9C",'Mapa final'!$O$52),"")</f>
        <v/>
      </c>
      <c r="O54" s="76" t="str">
        <f>IF(AND('Mapa final'!$Y$53="Muy Baja",'Mapa final'!$AA$53="Leve"),CONCATENATE("R9C",'Mapa final'!$O$53),"")</f>
        <v/>
      </c>
      <c r="P54" s="74" t="str">
        <f>IF(AND('Mapa final'!$Y$48="Muy Baja",'Mapa final'!$AA$48="Menor"),CONCATENATE("R9C",'Mapa final'!$O$48),"")</f>
        <v/>
      </c>
      <c r="Q54" s="75" t="str">
        <f>IF(AND('Mapa final'!$Y$49="Muy Baja",'Mapa final'!$AA$49="Menor"),CONCATENATE("R9C",'Mapa final'!$O$49),"")</f>
        <v/>
      </c>
      <c r="R54" s="75" t="str">
        <f>IF(AND('Mapa final'!$Y$50="Muy Baja",'Mapa final'!$AA$50="Menor"),CONCATENATE("R9C",'Mapa final'!$O$50),"")</f>
        <v/>
      </c>
      <c r="S54" s="75" t="str">
        <f>IF(AND('Mapa final'!$Y$51="Muy Baja",'Mapa final'!$AA$51="Menor"),CONCATENATE("R9C",'Mapa final'!$O$51),"")</f>
        <v/>
      </c>
      <c r="T54" s="75" t="str">
        <f>IF(AND('Mapa final'!$Y$52="Muy Baja",'Mapa final'!$AA$52="Menor"),CONCATENATE("R9C",'Mapa final'!$O$52),"")</f>
        <v/>
      </c>
      <c r="U54" s="76" t="str">
        <f>IF(AND('Mapa final'!$Y$53="Muy Baja",'Mapa final'!$AA$53="Menor"),CONCATENATE("R9C",'Mapa final'!$O$53),"")</f>
        <v/>
      </c>
      <c r="V54" s="65" t="str">
        <f>IF(AND('Mapa final'!$Y$48="Muy Baja",'Mapa final'!$AA$48="Moderado"),CONCATENATE("R9C",'Mapa final'!$O$48),"")</f>
        <v/>
      </c>
      <c r="W54" s="66" t="str">
        <f>IF(AND('Mapa final'!$Y$49="Muy Baja",'Mapa final'!$AA$49="Moderado"),CONCATENATE("R9C",'Mapa final'!$O$49),"")</f>
        <v/>
      </c>
      <c r="X54" s="66" t="str">
        <f>IF(AND('Mapa final'!$Y$50="Muy Baja",'Mapa final'!$AA$50="Moderado"),CONCATENATE("R9C",'Mapa final'!$O$50),"")</f>
        <v/>
      </c>
      <c r="Y54" s="66" t="str">
        <f>IF(AND('Mapa final'!$Y$51="Muy Baja",'Mapa final'!$AA$51="Moderado"),CONCATENATE("R9C",'Mapa final'!$O$51),"")</f>
        <v/>
      </c>
      <c r="Z54" s="66" t="str">
        <f>IF(AND('Mapa final'!$Y$52="Muy Baja",'Mapa final'!$AA$52="Moderado"),CONCATENATE("R9C",'Mapa final'!$O$52),"")</f>
        <v/>
      </c>
      <c r="AA54" s="67" t="str">
        <f>IF(AND('Mapa final'!$Y$53="Muy Baja",'Mapa final'!$AA$53="Moderado"),CONCATENATE("R9C",'Mapa final'!$O$53),"")</f>
        <v/>
      </c>
      <c r="AB54" s="50" t="str">
        <f>IF(AND('Mapa final'!$Y$48="Muy Baja",'Mapa final'!$AA$48="Mayor"),CONCATENATE("R9C",'Mapa final'!$O$48),"")</f>
        <v/>
      </c>
      <c r="AC54" s="51" t="str">
        <f>IF(AND('Mapa final'!$Y$49="Muy Baja",'Mapa final'!$AA$49="Mayor"),CONCATENATE("R9C",'Mapa final'!$O$49),"")</f>
        <v/>
      </c>
      <c r="AD54" s="51" t="str">
        <f>IF(AND('Mapa final'!$Y$50="Muy Baja",'Mapa final'!$AA$50="Mayor"),CONCATENATE("R9C",'Mapa final'!$O$50),"")</f>
        <v/>
      </c>
      <c r="AE54" s="51" t="str">
        <f>IF(AND('Mapa final'!$Y$51="Muy Baja",'Mapa final'!$AA$51="Mayor"),CONCATENATE("R9C",'Mapa final'!$O$51),"")</f>
        <v/>
      </c>
      <c r="AF54" s="51" t="str">
        <f>IF(AND('Mapa final'!$Y$52="Muy Baja",'Mapa final'!$AA$52="Mayor"),CONCATENATE("R9C",'Mapa final'!$O$52),"")</f>
        <v/>
      </c>
      <c r="AG54" s="52" t="str">
        <f>IF(AND('Mapa final'!$Y$53="Muy Baja",'Mapa final'!$AA$53="Mayor"),CONCATENATE("R9C",'Mapa final'!$O$53),"")</f>
        <v/>
      </c>
      <c r="AH54" s="53" t="str">
        <f>IF(AND('Mapa final'!$Y$48="Muy Baja",'Mapa final'!$AA$48="Catastrófico"),CONCATENATE("R9C",'Mapa final'!$O$48),"")</f>
        <v/>
      </c>
      <c r="AI54" s="54" t="str">
        <f>IF(AND('Mapa final'!$Y$49="Muy Baja",'Mapa final'!$AA$49="Catastrófico"),CONCATENATE("R9C",'Mapa final'!$O$49),"")</f>
        <v/>
      </c>
      <c r="AJ54" s="54" t="str">
        <f>IF(AND('Mapa final'!$Y$50="Muy Baja",'Mapa final'!$AA$50="Catastrófico"),CONCATENATE("R9C",'Mapa final'!$O$50),"")</f>
        <v/>
      </c>
      <c r="AK54" s="54" t="str">
        <f>IF(AND('Mapa final'!$Y$51="Muy Baja",'Mapa final'!$AA$51="Catastrófico"),CONCATENATE("R9C",'Mapa final'!$O$51),"")</f>
        <v/>
      </c>
      <c r="AL54" s="54" t="str">
        <f>IF(AND('Mapa final'!$Y$52="Muy Baja",'Mapa final'!$AA$52="Catastrófico"),CONCATENATE("R9C",'Mapa final'!$O$52),"")</f>
        <v/>
      </c>
      <c r="AM54" s="55" t="str">
        <f>IF(AND('Mapa final'!$Y$53="Muy Baja",'Mapa final'!$AA$53="Catastrófico"),CONCATENATE("R9C",'Mapa final'!$O$53),"")</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289"/>
      <c r="C55" s="289"/>
      <c r="D55" s="290"/>
      <c r="E55" s="333"/>
      <c r="F55" s="334"/>
      <c r="G55" s="334"/>
      <c r="H55" s="334"/>
      <c r="I55" s="335"/>
      <c r="J55" s="77" t="str">
        <f>IF(AND('Mapa final'!$Y$54="Muy Baja",'Mapa final'!$AA$54="Leve"),CONCATENATE("R10C",'Mapa final'!$O$54),"")</f>
        <v/>
      </c>
      <c r="K55" s="78" t="str">
        <f>IF(AND('Mapa final'!$Y$55="Muy Baja",'Mapa final'!$AA$55="Leve"),CONCATENATE("R10C",'Mapa final'!$O$55),"")</f>
        <v/>
      </c>
      <c r="L55" s="78" t="str">
        <f>IF(AND('Mapa final'!$Y$56="Muy Baja",'Mapa final'!$AA$56="Leve"),CONCATENATE("R10C",'Mapa final'!$O$56),"")</f>
        <v/>
      </c>
      <c r="M55" s="78" t="str">
        <f>IF(AND('Mapa final'!$Y$57="Muy Baja",'Mapa final'!$AA$57="Leve"),CONCATENATE("R10C",'Mapa final'!$O$57),"")</f>
        <v/>
      </c>
      <c r="N55" s="78" t="str">
        <f>IF(AND('Mapa final'!$Y$58="Muy Baja",'Mapa final'!$AA$58="Leve"),CONCATENATE("R10C",'Mapa final'!$O$58),"")</f>
        <v/>
      </c>
      <c r="O55" s="79" t="str">
        <f>IF(AND('Mapa final'!$Y$59="Muy Baja",'Mapa final'!$AA$59="Leve"),CONCATENATE("R10C",'Mapa final'!$O$59),"")</f>
        <v/>
      </c>
      <c r="P55" s="77" t="str">
        <f>IF(AND('Mapa final'!$Y$54="Muy Baja",'Mapa final'!$AA$54="Menor"),CONCATENATE("R10C",'Mapa final'!$O$54),"")</f>
        <v/>
      </c>
      <c r="Q55" s="78" t="str">
        <f>IF(AND('Mapa final'!$Y$55="Muy Baja",'Mapa final'!$AA$55="Menor"),CONCATENATE("R10C",'Mapa final'!$O$55),"")</f>
        <v/>
      </c>
      <c r="R55" s="78" t="str">
        <f>IF(AND('Mapa final'!$Y$56="Muy Baja",'Mapa final'!$AA$56="Menor"),CONCATENATE("R10C",'Mapa final'!$O$56),"")</f>
        <v/>
      </c>
      <c r="S55" s="78" t="str">
        <f>IF(AND('Mapa final'!$Y$57="Muy Baja",'Mapa final'!$AA$57="Menor"),CONCATENATE("R10C",'Mapa final'!$O$57),"")</f>
        <v/>
      </c>
      <c r="T55" s="78" t="str">
        <f>IF(AND('Mapa final'!$Y$58="Muy Baja",'Mapa final'!$AA$58="Menor"),CONCATENATE("R10C",'Mapa final'!$O$58),"")</f>
        <v/>
      </c>
      <c r="U55" s="79" t="str">
        <f>IF(AND('Mapa final'!$Y$59="Muy Baja",'Mapa final'!$AA$59="Menor"),CONCATENATE("R10C",'Mapa final'!$O$59),"")</f>
        <v/>
      </c>
      <c r="V55" s="68" t="str">
        <f>IF(AND('Mapa final'!$Y$54="Muy Baja",'Mapa final'!$AA$54="Moderado"),CONCATENATE("R10C",'Mapa final'!$O$54),"")</f>
        <v/>
      </c>
      <c r="W55" s="69" t="str">
        <f>IF(AND('Mapa final'!$Y$55="Muy Baja",'Mapa final'!$AA$55="Moderado"),CONCATENATE("R10C",'Mapa final'!$O$55),"")</f>
        <v/>
      </c>
      <c r="X55" s="69" t="str">
        <f>IF(AND('Mapa final'!$Y$56="Muy Baja",'Mapa final'!$AA$56="Moderado"),CONCATENATE("R10C",'Mapa final'!$O$56),"")</f>
        <v/>
      </c>
      <c r="Y55" s="69" t="str">
        <f>IF(AND('Mapa final'!$Y$57="Muy Baja",'Mapa final'!$AA$57="Moderado"),CONCATENATE("R10C",'Mapa final'!$O$57),"")</f>
        <v/>
      </c>
      <c r="Z55" s="69" t="str">
        <f>IF(AND('Mapa final'!$Y$58="Muy Baja",'Mapa final'!$AA$58="Moderado"),CONCATENATE("R10C",'Mapa final'!$O$58),"")</f>
        <v/>
      </c>
      <c r="AA55" s="70" t="str">
        <f>IF(AND('Mapa final'!$Y$59="Muy Baja",'Mapa final'!$AA$59="Moderado"),CONCATENATE("R10C",'Mapa final'!$O$59),"")</f>
        <v/>
      </c>
      <c r="AB55" s="56" t="str">
        <f>IF(AND('Mapa final'!$Y$54="Muy Baja",'Mapa final'!$AA$54="Mayor"),CONCATENATE("R10C",'Mapa final'!$O$54),"")</f>
        <v/>
      </c>
      <c r="AC55" s="57" t="str">
        <f>IF(AND('Mapa final'!$Y$55="Muy Baja",'Mapa final'!$AA$55="Mayor"),CONCATENATE("R10C",'Mapa final'!$O$55),"")</f>
        <v/>
      </c>
      <c r="AD55" s="57" t="str">
        <f>IF(AND('Mapa final'!$Y$56="Muy Baja",'Mapa final'!$AA$56="Mayor"),CONCATENATE("R10C",'Mapa final'!$O$56),"")</f>
        <v/>
      </c>
      <c r="AE55" s="57" t="str">
        <f>IF(AND('Mapa final'!$Y$57="Muy Baja",'Mapa final'!$AA$57="Mayor"),CONCATENATE("R10C",'Mapa final'!$O$57),"")</f>
        <v/>
      </c>
      <c r="AF55" s="57" t="str">
        <f>IF(AND('Mapa final'!$Y$58="Muy Baja",'Mapa final'!$AA$58="Mayor"),CONCATENATE("R10C",'Mapa final'!$O$58),"")</f>
        <v/>
      </c>
      <c r="AG55" s="58" t="str">
        <f>IF(AND('Mapa final'!$Y$59="Muy Baja",'Mapa final'!$AA$59="Mayor"),CONCATENATE("R10C",'Mapa final'!$O$59),"")</f>
        <v/>
      </c>
      <c r="AH55" s="59" t="str">
        <f>IF(AND('Mapa final'!$Y$54="Muy Baja",'Mapa final'!$AA$54="Catastrófico"),CONCATENATE("R10C",'Mapa final'!$O$54),"")</f>
        <v/>
      </c>
      <c r="AI55" s="60" t="str">
        <f>IF(AND('Mapa final'!$Y$55="Muy Baja",'Mapa final'!$AA$55="Catastrófico"),CONCATENATE("R10C",'Mapa final'!$O$55),"")</f>
        <v/>
      </c>
      <c r="AJ55" s="60" t="str">
        <f>IF(AND('Mapa final'!$Y$56="Muy Baja",'Mapa final'!$AA$56="Catastrófico"),CONCATENATE("R10C",'Mapa final'!$O$56),"")</f>
        <v/>
      </c>
      <c r="AK55" s="60" t="str">
        <f>IF(AND('Mapa final'!$Y$57="Muy Baja",'Mapa final'!$AA$57="Catastrófico"),CONCATENATE("R10C",'Mapa final'!$O$57),"")</f>
        <v/>
      </c>
      <c r="AL55" s="60" t="str">
        <f>IF(AND('Mapa final'!$Y$58="Muy Baja",'Mapa final'!$AA$58="Catastrófico"),CONCATENATE("R10C",'Mapa final'!$O$58),"")</f>
        <v/>
      </c>
      <c r="AM55" s="61" t="str">
        <f>IF(AND('Mapa final'!$Y$59="Muy Baja",'Mapa final'!$AA$59="Catastrófico"),CONCATENATE("R10C",'Mapa final'!$O$59),"")</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327" t="s">
        <v>112</v>
      </c>
      <c r="K56" s="328"/>
      <c r="L56" s="328"/>
      <c r="M56" s="328"/>
      <c r="N56" s="328"/>
      <c r="O56" s="329"/>
      <c r="P56" s="327" t="s">
        <v>111</v>
      </c>
      <c r="Q56" s="328"/>
      <c r="R56" s="328"/>
      <c r="S56" s="328"/>
      <c r="T56" s="328"/>
      <c r="U56" s="329"/>
      <c r="V56" s="327" t="s">
        <v>110</v>
      </c>
      <c r="W56" s="328"/>
      <c r="X56" s="328"/>
      <c r="Y56" s="328"/>
      <c r="Z56" s="328"/>
      <c r="AA56" s="329"/>
      <c r="AB56" s="327" t="s">
        <v>109</v>
      </c>
      <c r="AC56" s="336"/>
      <c r="AD56" s="328"/>
      <c r="AE56" s="328"/>
      <c r="AF56" s="328"/>
      <c r="AG56" s="329"/>
      <c r="AH56" s="327" t="s">
        <v>108</v>
      </c>
      <c r="AI56" s="328"/>
      <c r="AJ56" s="328"/>
      <c r="AK56" s="328"/>
      <c r="AL56" s="328"/>
      <c r="AM56" s="329"/>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330"/>
      <c r="K57" s="331"/>
      <c r="L57" s="331"/>
      <c r="M57" s="331"/>
      <c r="N57" s="331"/>
      <c r="O57" s="332"/>
      <c r="P57" s="330"/>
      <c r="Q57" s="331"/>
      <c r="R57" s="331"/>
      <c r="S57" s="331"/>
      <c r="T57" s="331"/>
      <c r="U57" s="332"/>
      <c r="V57" s="330"/>
      <c r="W57" s="331"/>
      <c r="X57" s="331"/>
      <c r="Y57" s="331"/>
      <c r="Z57" s="331"/>
      <c r="AA57" s="332"/>
      <c r="AB57" s="330"/>
      <c r="AC57" s="331"/>
      <c r="AD57" s="331"/>
      <c r="AE57" s="331"/>
      <c r="AF57" s="331"/>
      <c r="AG57" s="332"/>
      <c r="AH57" s="330"/>
      <c r="AI57" s="331"/>
      <c r="AJ57" s="331"/>
      <c r="AK57" s="331"/>
      <c r="AL57" s="331"/>
      <c r="AM57" s="332"/>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330"/>
      <c r="K58" s="331"/>
      <c r="L58" s="331"/>
      <c r="M58" s="331"/>
      <c r="N58" s="331"/>
      <c r="O58" s="332"/>
      <c r="P58" s="330"/>
      <c r="Q58" s="331"/>
      <c r="R58" s="331"/>
      <c r="S58" s="331"/>
      <c r="T58" s="331"/>
      <c r="U58" s="332"/>
      <c r="V58" s="330"/>
      <c r="W58" s="331"/>
      <c r="X58" s="331"/>
      <c r="Y58" s="331"/>
      <c r="Z58" s="331"/>
      <c r="AA58" s="332"/>
      <c r="AB58" s="330"/>
      <c r="AC58" s="331"/>
      <c r="AD58" s="331"/>
      <c r="AE58" s="331"/>
      <c r="AF58" s="331"/>
      <c r="AG58" s="332"/>
      <c r="AH58" s="330"/>
      <c r="AI58" s="331"/>
      <c r="AJ58" s="331"/>
      <c r="AK58" s="331"/>
      <c r="AL58" s="331"/>
      <c r="AM58" s="332"/>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330"/>
      <c r="K59" s="331"/>
      <c r="L59" s="331"/>
      <c r="M59" s="331"/>
      <c r="N59" s="331"/>
      <c r="O59" s="332"/>
      <c r="P59" s="330"/>
      <c r="Q59" s="331"/>
      <c r="R59" s="331"/>
      <c r="S59" s="331"/>
      <c r="T59" s="331"/>
      <c r="U59" s="332"/>
      <c r="V59" s="330"/>
      <c r="W59" s="331"/>
      <c r="X59" s="331"/>
      <c r="Y59" s="331"/>
      <c r="Z59" s="331"/>
      <c r="AA59" s="332"/>
      <c r="AB59" s="330"/>
      <c r="AC59" s="331"/>
      <c r="AD59" s="331"/>
      <c r="AE59" s="331"/>
      <c r="AF59" s="331"/>
      <c r="AG59" s="332"/>
      <c r="AH59" s="330"/>
      <c r="AI59" s="331"/>
      <c r="AJ59" s="331"/>
      <c r="AK59" s="331"/>
      <c r="AL59" s="331"/>
      <c r="AM59" s="332"/>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330"/>
      <c r="K60" s="331"/>
      <c r="L60" s="331"/>
      <c r="M60" s="331"/>
      <c r="N60" s="331"/>
      <c r="O60" s="332"/>
      <c r="P60" s="330"/>
      <c r="Q60" s="331"/>
      <c r="R60" s="331"/>
      <c r="S60" s="331"/>
      <c r="T60" s="331"/>
      <c r="U60" s="332"/>
      <c r="V60" s="330"/>
      <c r="W60" s="331"/>
      <c r="X60" s="331"/>
      <c r="Y60" s="331"/>
      <c r="Z60" s="331"/>
      <c r="AA60" s="332"/>
      <c r="AB60" s="330"/>
      <c r="AC60" s="331"/>
      <c r="AD60" s="331"/>
      <c r="AE60" s="331"/>
      <c r="AF60" s="331"/>
      <c r="AG60" s="332"/>
      <c r="AH60" s="330"/>
      <c r="AI60" s="331"/>
      <c r="AJ60" s="331"/>
      <c r="AK60" s="331"/>
      <c r="AL60" s="331"/>
      <c r="AM60" s="332"/>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333"/>
      <c r="K61" s="334"/>
      <c r="L61" s="334"/>
      <c r="M61" s="334"/>
      <c r="N61" s="334"/>
      <c r="O61" s="335"/>
      <c r="P61" s="333"/>
      <c r="Q61" s="334"/>
      <c r="R61" s="334"/>
      <c r="S61" s="334"/>
      <c r="T61" s="334"/>
      <c r="U61" s="335"/>
      <c r="V61" s="333"/>
      <c r="W61" s="334"/>
      <c r="X61" s="334"/>
      <c r="Y61" s="334"/>
      <c r="Z61" s="334"/>
      <c r="AA61" s="335"/>
      <c r="AB61" s="333"/>
      <c r="AC61" s="334"/>
      <c r="AD61" s="334"/>
      <c r="AE61" s="334"/>
      <c r="AF61" s="334"/>
      <c r="AG61" s="335"/>
      <c r="AH61" s="333"/>
      <c r="AI61" s="334"/>
      <c r="AJ61" s="334"/>
      <c r="AK61" s="334"/>
      <c r="AL61" s="334"/>
      <c r="AM61" s="335"/>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1"/>
      <c r="AV63" s="81"/>
      <c r="AW63" s="81"/>
      <c r="AX63" s="81"/>
      <c r="AY63" s="81"/>
      <c r="AZ63" s="81"/>
      <c r="BA63" s="81"/>
      <c r="BB63" s="81"/>
      <c r="BC63" s="81"/>
      <c r="BD63" s="81"/>
      <c r="BE63" s="81"/>
      <c r="BF63" s="81"/>
      <c r="BG63" s="81"/>
      <c r="BH63" s="81"/>
    </row>
    <row r="64" spans="1:80" ht="15" customHeight="1" x14ac:dyDescent="0.25">
      <c r="A64" s="81"/>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153"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1"/>
      <c r="B1" s="376" t="s">
        <v>55</v>
      </c>
      <c r="C1" s="376"/>
      <c r="D1" s="376"/>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52</v>
      </c>
      <c r="D3" s="11" t="s">
        <v>4</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51</v>
      </c>
      <c r="C4" s="13" t="s">
        <v>102</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53</v>
      </c>
      <c r="C5" s="16" t="s">
        <v>103</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107</v>
      </c>
      <c r="C6" s="16" t="s">
        <v>104</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6</v>
      </c>
      <c r="C7" s="16" t="s">
        <v>105</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54</v>
      </c>
      <c r="C8" s="16" t="s">
        <v>106</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5"/>
      <c r="C9" s="105"/>
      <c r="D9" s="105"/>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6"/>
      <c r="C10" s="105"/>
      <c r="D10" s="105"/>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5"/>
      <c r="C11" s="105"/>
      <c r="D11" s="105"/>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5"/>
      <c r="C12" s="105"/>
      <c r="D12" s="105"/>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5"/>
      <c r="C13" s="105"/>
      <c r="D13" s="105"/>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5"/>
      <c r="C14" s="105"/>
      <c r="D14" s="105"/>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5"/>
      <c r="C15" s="105"/>
      <c r="D15" s="105"/>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5"/>
      <c r="C16" s="105"/>
      <c r="D16" s="105"/>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5"/>
      <c r="C17" s="105"/>
      <c r="D17" s="105"/>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5"/>
      <c r="C18" s="105"/>
      <c r="D18" s="105"/>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2" zoomScale="80" zoomScaleNormal="80" workbookViewId="0">
      <selection activeCell="C212" sqref="C212"/>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377" t="s">
        <v>63</v>
      </c>
      <c r="C1" s="377"/>
      <c r="D1" s="377"/>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102"/>
      <c r="C3" s="34" t="s">
        <v>56</v>
      </c>
      <c r="D3" s="34" t="s">
        <v>57</v>
      </c>
      <c r="E3" s="81"/>
      <c r="F3" s="81"/>
      <c r="G3" s="81"/>
      <c r="H3" s="81"/>
      <c r="I3" s="81"/>
      <c r="J3" s="81"/>
      <c r="K3" s="81"/>
      <c r="L3" s="81"/>
      <c r="M3" s="81"/>
      <c r="N3" s="81"/>
      <c r="O3" s="81"/>
      <c r="P3" s="81"/>
      <c r="Q3" s="81"/>
      <c r="R3" s="81"/>
      <c r="S3" s="81"/>
      <c r="T3" s="81"/>
      <c r="U3" s="81"/>
    </row>
    <row r="4" spans="1:21" ht="33.75" x14ac:dyDescent="0.25">
      <c r="A4" s="101" t="s">
        <v>83</v>
      </c>
      <c r="B4" s="37" t="s">
        <v>101</v>
      </c>
      <c r="C4" s="42" t="s">
        <v>158</v>
      </c>
      <c r="D4" s="35" t="s">
        <v>97</v>
      </c>
      <c r="E4" s="81"/>
      <c r="F4" s="81"/>
      <c r="G4" s="81"/>
      <c r="H4" s="81"/>
      <c r="I4" s="81"/>
      <c r="J4" s="81"/>
      <c r="K4" s="81"/>
      <c r="L4" s="81"/>
      <c r="M4" s="81"/>
      <c r="N4" s="81"/>
      <c r="O4" s="81"/>
      <c r="P4" s="81"/>
      <c r="Q4" s="81"/>
      <c r="R4" s="81"/>
      <c r="S4" s="81"/>
      <c r="T4" s="81"/>
      <c r="U4" s="81"/>
    </row>
    <row r="5" spans="1:21" ht="67.5" x14ac:dyDescent="0.25">
      <c r="A5" s="101" t="s">
        <v>84</v>
      </c>
      <c r="B5" s="38" t="s">
        <v>59</v>
      </c>
      <c r="C5" s="43" t="s">
        <v>93</v>
      </c>
      <c r="D5" s="36" t="s">
        <v>98</v>
      </c>
      <c r="E5" s="81"/>
      <c r="F5" s="81"/>
      <c r="G5" s="81"/>
      <c r="H5" s="81"/>
      <c r="I5" s="81"/>
      <c r="J5" s="81"/>
      <c r="K5" s="81"/>
      <c r="L5" s="81"/>
      <c r="M5" s="81"/>
      <c r="N5" s="81"/>
      <c r="O5" s="81"/>
      <c r="P5" s="81"/>
      <c r="Q5" s="81"/>
      <c r="R5" s="81"/>
      <c r="S5" s="81"/>
      <c r="T5" s="81"/>
      <c r="U5" s="81"/>
    </row>
    <row r="6" spans="1:21" ht="67.5" x14ac:dyDescent="0.25">
      <c r="A6" s="101" t="s">
        <v>81</v>
      </c>
      <c r="B6" s="39" t="s">
        <v>60</v>
      </c>
      <c r="C6" s="43" t="s">
        <v>94</v>
      </c>
      <c r="D6" s="36" t="s">
        <v>100</v>
      </c>
      <c r="E6" s="81"/>
      <c r="F6" s="81"/>
      <c r="G6" s="81"/>
      <c r="H6" s="81"/>
      <c r="I6" s="81"/>
      <c r="J6" s="81"/>
      <c r="K6" s="81"/>
      <c r="L6" s="81"/>
      <c r="M6" s="81"/>
      <c r="N6" s="81"/>
      <c r="O6" s="81"/>
      <c r="P6" s="81"/>
      <c r="Q6" s="81"/>
      <c r="R6" s="81"/>
      <c r="S6" s="81"/>
      <c r="T6" s="81"/>
      <c r="U6" s="81"/>
    </row>
    <row r="7" spans="1:21" ht="101.25" x14ac:dyDescent="0.25">
      <c r="A7" s="101" t="s">
        <v>7</v>
      </c>
      <c r="B7" s="40" t="s">
        <v>61</v>
      </c>
      <c r="C7" s="43" t="s">
        <v>95</v>
      </c>
      <c r="D7" s="36" t="s">
        <v>223</v>
      </c>
      <c r="E7" s="81"/>
      <c r="F7" s="81"/>
      <c r="G7" s="81"/>
      <c r="H7" s="81"/>
      <c r="I7" s="81"/>
      <c r="J7" s="81"/>
      <c r="K7" s="81"/>
      <c r="L7" s="81"/>
      <c r="M7" s="81"/>
      <c r="N7" s="81"/>
      <c r="O7" s="81"/>
      <c r="P7" s="81"/>
      <c r="Q7" s="81"/>
      <c r="R7" s="81"/>
      <c r="S7" s="81"/>
      <c r="T7" s="81"/>
      <c r="U7" s="81"/>
    </row>
    <row r="8" spans="1:21" ht="67.5" x14ac:dyDescent="0.25">
      <c r="A8" s="101" t="s">
        <v>85</v>
      </c>
      <c r="B8" s="41" t="s">
        <v>62</v>
      </c>
      <c r="C8" s="43" t="s">
        <v>96</v>
      </c>
      <c r="D8" s="36" t="s">
        <v>118</v>
      </c>
      <c r="E8" s="81"/>
      <c r="F8" s="81"/>
      <c r="G8" s="81"/>
      <c r="H8" s="81"/>
      <c r="I8" s="81"/>
      <c r="J8" s="81"/>
      <c r="K8" s="81"/>
      <c r="L8" s="81"/>
      <c r="M8" s="81"/>
      <c r="N8" s="81"/>
      <c r="O8" s="81"/>
      <c r="P8" s="81"/>
      <c r="Q8" s="81"/>
      <c r="R8" s="81"/>
      <c r="S8" s="81"/>
      <c r="T8" s="81"/>
      <c r="U8" s="81"/>
    </row>
    <row r="9" spans="1:21" ht="20.25" x14ac:dyDescent="0.25">
      <c r="A9" s="101"/>
      <c r="B9" s="101"/>
      <c r="C9" s="103"/>
      <c r="D9" s="103"/>
      <c r="E9" s="81"/>
      <c r="F9" s="81"/>
      <c r="G9" s="81"/>
      <c r="H9" s="81"/>
      <c r="I9" s="81"/>
      <c r="J9" s="81"/>
      <c r="K9" s="81"/>
      <c r="L9" s="81"/>
      <c r="M9" s="81"/>
      <c r="N9" s="81"/>
      <c r="O9" s="81"/>
      <c r="P9" s="81"/>
      <c r="Q9" s="81"/>
      <c r="R9" s="81"/>
      <c r="S9" s="81"/>
      <c r="T9" s="81"/>
      <c r="U9" s="81"/>
    </row>
    <row r="10" spans="1:21" ht="16.5" x14ac:dyDescent="0.25">
      <c r="A10" s="101"/>
      <c r="B10" s="104"/>
      <c r="C10" s="104"/>
      <c r="D10" s="104"/>
      <c r="E10" s="81"/>
      <c r="F10" s="81"/>
      <c r="G10" s="81"/>
      <c r="H10" s="81"/>
      <c r="I10" s="81"/>
      <c r="J10" s="81"/>
      <c r="K10" s="81"/>
      <c r="L10" s="81"/>
      <c r="M10" s="81"/>
      <c r="N10" s="81"/>
      <c r="O10" s="81"/>
      <c r="P10" s="81"/>
      <c r="Q10" s="81"/>
      <c r="R10" s="81"/>
      <c r="S10" s="81"/>
      <c r="T10" s="81"/>
      <c r="U10" s="81"/>
    </row>
    <row r="11" spans="1:21" x14ac:dyDescent="0.25">
      <c r="A11" s="101"/>
      <c r="B11" s="101" t="s">
        <v>91</v>
      </c>
      <c r="C11" s="101" t="s">
        <v>146</v>
      </c>
      <c r="D11" s="101" t="s">
        <v>153</v>
      </c>
      <c r="E11" s="81"/>
      <c r="F11" s="81"/>
      <c r="G11" s="81"/>
      <c r="H11" s="81"/>
      <c r="I11" s="81"/>
      <c r="J11" s="81"/>
      <c r="K11" s="81"/>
      <c r="L11" s="81"/>
      <c r="M11" s="81"/>
      <c r="N11" s="81"/>
      <c r="O11" s="81"/>
      <c r="P11" s="81"/>
      <c r="Q11" s="81"/>
      <c r="R11" s="81"/>
      <c r="S11" s="81"/>
      <c r="T11" s="81"/>
      <c r="U11" s="81"/>
    </row>
    <row r="12" spans="1:21" x14ac:dyDescent="0.25">
      <c r="A12" s="101"/>
      <c r="B12" s="101" t="s">
        <v>89</v>
      </c>
      <c r="C12" s="101" t="s">
        <v>150</v>
      </c>
      <c r="D12" s="101" t="s">
        <v>154</v>
      </c>
      <c r="E12" s="81"/>
      <c r="F12" s="81"/>
      <c r="G12" s="81"/>
      <c r="H12" s="81"/>
      <c r="I12" s="81"/>
      <c r="J12" s="81"/>
      <c r="K12" s="81"/>
      <c r="L12" s="81"/>
      <c r="M12" s="81"/>
      <c r="N12" s="81"/>
      <c r="O12" s="81"/>
      <c r="P12" s="81"/>
      <c r="Q12" s="81"/>
      <c r="R12" s="81"/>
      <c r="S12" s="81"/>
      <c r="T12" s="81"/>
      <c r="U12" s="81"/>
    </row>
    <row r="13" spans="1:21" x14ac:dyDescent="0.25">
      <c r="A13" s="101"/>
      <c r="B13" s="101"/>
      <c r="C13" s="101" t="s">
        <v>149</v>
      </c>
      <c r="D13" s="101" t="s">
        <v>155</v>
      </c>
      <c r="E13" s="81"/>
      <c r="F13" s="81"/>
      <c r="G13" s="81"/>
      <c r="H13" s="81"/>
      <c r="I13" s="81"/>
      <c r="J13" s="81"/>
      <c r="K13" s="81"/>
      <c r="L13" s="81"/>
      <c r="M13" s="81"/>
      <c r="N13" s="81"/>
      <c r="O13" s="81"/>
      <c r="P13" s="81"/>
      <c r="Q13" s="81"/>
      <c r="R13" s="81"/>
      <c r="S13" s="81"/>
      <c r="T13" s="81"/>
      <c r="U13" s="81"/>
    </row>
    <row r="14" spans="1:21" x14ac:dyDescent="0.25">
      <c r="A14" s="101"/>
      <c r="B14" s="101"/>
      <c r="C14" s="101" t="s">
        <v>151</v>
      </c>
      <c r="D14" s="101" t="s">
        <v>156</v>
      </c>
      <c r="E14" s="81"/>
      <c r="F14" s="81"/>
      <c r="G14" s="81"/>
      <c r="H14" s="81"/>
      <c r="I14" s="81"/>
      <c r="J14" s="81"/>
      <c r="K14" s="81"/>
      <c r="L14" s="81"/>
      <c r="M14" s="81"/>
      <c r="N14" s="81"/>
      <c r="O14" s="81"/>
      <c r="P14" s="81"/>
      <c r="Q14" s="81"/>
      <c r="R14" s="81"/>
      <c r="S14" s="81"/>
      <c r="T14" s="81"/>
      <c r="U14" s="81"/>
    </row>
    <row r="15" spans="1:21" x14ac:dyDescent="0.25">
      <c r="A15" s="101"/>
      <c r="B15" s="101"/>
      <c r="C15" s="101" t="s">
        <v>152</v>
      </c>
      <c r="D15" s="101" t="s">
        <v>157</v>
      </c>
      <c r="E15" s="81"/>
      <c r="F15" s="81"/>
      <c r="G15" s="81"/>
      <c r="H15" s="81"/>
      <c r="I15" s="81"/>
      <c r="J15" s="81"/>
      <c r="K15" s="81"/>
      <c r="L15" s="81"/>
      <c r="M15" s="81"/>
      <c r="N15" s="81"/>
      <c r="O15" s="81"/>
      <c r="P15" s="81"/>
      <c r="Q15" s="81"/>
      <c r="R15" s="81"/>
      <c r="S15" s="81"/>
      <c r="T15" s="81"/>
      <c r="U15" s="81"/>
    </row>
    <row r="16" spans="1:21" x14ac:dyDescent="0.25">
      <c r="A16" s="101"/>
      <c r="B16" s="101"/>
      <c r="C16" s="101"/>
      <c r="D16" s="101"/>
      <c r="E16" s="81"/>
      <c r="F16" s="81"/>
      <c r="G16" s="81"/>
      <c r="H16" s="81"/>
      <c r="I16" s="81"/>
      <c r="J16" s="81"/>
      <c r="K16" s="81"/>
      <c r="L16" s="81"/>
      <c r="M16" s="81"/>
      <c r="N16" s="81"/>
      <c r="O16" s="81"/>
    </row>
    <row r="17" spans="1:15" x14ac:dyDescent="0.25">
      <c r="A17" s="101"/>
      <c r="B17" s="101"/>
      <c r="C17" s="101"/>
      <c r="D17" s="101"/>
      <c r="E17" s="81"/>
      <c r="F17" s="81"/>
      <c r="G17" s="81"/>
      <c r="H17" s="81"/>
      <c r="I17" s="81"/>
      <c r="J17" s="81"/>
      <c r="K17" s="81"/>
      <c r="L17" s="81"/>
      <c r="M17" s="81"/>
      <c r="N17" s="81"/>
      <c r="O17" s="81"/>
    </row>
    <row r="18" spans="1:15" x14ac:dyDescent="0.25">
      <c r="A18" s="101"/>
      <c r="B18" s="105"/>
      <c r="C18" s="105"/>
      <c r="D18" s="105"/>
      <c r="E18" s="81"/>
      <c r="F18" s="81"/>
      <c r="G18" s="81"/>
      <c r="H18" s="81"/>
      <c r="I18" s="81"/>
      <c r="J18" s="81"/>
      <c r="K18" s="81"/>
      <c r="L18" s="81"/>
      <c r="M18" s="81"/>
      <c r="N18" s="81"/>
      <c r="O18" s="81"/>
    </row>
    <row r="19" spans="1:15" x14ac:dyDescent="0.25">
      <c r="A19" s="101"/>
      <c r="B19" s="105"/>
      <c r="C19" s="105"/>
      <c r="D19" s="105"/>
      <c r="E19" s="81"/>
      <c r="F19" s="81"/>
      <c r="G19" s="81"/>
      <c r="H19" s="81"/>
      <c r="I19" s="81"/>
      <c r="J19" s="81"/>
      <c r="K19" s="81"/>
      <c r="L19" s="81"/>
      <c r="M19" s="81"/>
      <c r="N19" s="81"/>
      <c r="O19" s="81"/>
    </row>
    <row r="20" spans="1:15" x14ac:dyDescent="0.25">
      <c r="A20" s="101"/>
      <c r="B20" s="105"/>
      <c r="C20" s="105"/>
      <c r="D20" s="105"/>
      <c r="E20" s="81"/>
      <c r="F20" s="81"/>
      <c r="G20" s="81"/>
      <c r="H20" s="81"/>
      <c r="I20" s="81"/>
      <c r="J20" s="81"/>
      <c r="K20" s="81"/>
      <c r="L20" s="81"/>
      <c r="M20" s="81"/>
      <c r="N20" s="81"/>
      <c r="O20" s="81"/>
    </row>
    <row r="21" spans="1:15" x14ac:dyDescent="0.25">
      <c r="A21" s="101"/>
      <c r="B21" s="105"/>
      <c r="C21" s="105"/>
      <c r="D21" s="105"/>
      <c r="E21" s="81"/>
      <c r="F21" s="81"/>
      <c r="G21" s="81"/>
      <c r="H21" s="81"/>
      <c r="I21" s="81"/>
      <c r="J21" s="81"/>
      <c r="K21" s="81"/>
      <c r="L21" s="81"/>
      <c r="M21" s="81"/>
      <c r="N21" s="81"/>
      <c r="O21" s="81"/>
    </row>
    <row r="22" spans="1:15" ht="20.25" x14ac:dyDescent="0.25">
      <c r="A22" s="101"/>
      <c r="B22" s="101"/>
      <c r="C22" s="103"/>
      <c r="D22" s="103"/>
      <c r="E22" s="81"/>
      <c r="F22" s="81"/>
      <c r="G22" s="81"/>
      <c r="H22" s="81"/>
      <c r="I22" s="81"/>
      <c r="J22" s="81"/>
      <c r="K22" s="81"/>
      <c r="L22" s="81"/>
      <c r="M22" s="81"/>
      <c r="N22" s="81"/>
      <c r="O22" s="81"/>
    </row>
    <row r="23" spans="1:15" ht="20.25" x14ac:dyDescent="0.25">
      <c r="A23" s="101"/>
      <c r="B23" s="101"/>
      <c r="C23" s="103"/>
      <c r="D23" s="103"/>
      <c r="E23" s="81"/>
      <c r="F23" s="81"/>
      <c r="G23" s="81"/>
      <c r="H23" s="81"/>
      <c r="I23" s="81"/>
      <c r="J23" s="81"/>
      <c r="K23" s="81"/>
      <c r="L23" s="81"/>
      <c r="M23" s="81"/>
      <c r="N23" s="81"/>
      <c r="O23" s="81"/>
    </row>
    <row r="24" spans="1:15" ht="20.25" x14ac:dyDescent="0.25">
      <c r="A24" s="101"/>
      <c r="B24" s="101"/>
      <c r="C24" s="103"/>
      <c r="D24" s="103"/>
      <c r="E24" s="81"/>
      <c r="F24" s="81"/>
      <c r="G24" s="81"/>
      <c r="H24" s="81"/>
      <c r="I24" s="81"/>
      <c r="J24" s="81"/>
      <c r="K24" s="81"/>
      <c r="L24" s="81"/>
      <c r="M24" s="81"/>
      <c r="N24" s="81"/>
      <c r="O24" s="81"/>
    </row>
    <row r="25" spans="1:15" ht="20.25" x14ac:dyDescent="0.25">
      <c r="A25" s="101"/>
      <c r="B25" s="101"/>
      <c r="C25" s="103"/>
      <c r="D25" s="103"/>
      <c r="E25" s="81"/>
      <c r="F25" s="81"/>
      <c r="G25" s="81"/>
      <c r="H25" s="81"/>
      <c r="I25" s="81"/>
      <c r="J25" s="81"/>
      <c r="K25" s="81"/>
      <c r="L25" s="81"/>
      <c r="M25" s="81"/>
      <c r="N25" s="81"/>
      <c r="O25" s="81"/>
    </row>
    <row r="26" spans="1:15" ht="20.25" x14ac:dyDescent="0.25">
      <c r="A26" s="101"/>
      <c r="B26" s="101"/>
      <c r="C26" s="103"/>
      <c r="D26" s="103"/>
      <c r="E26" s="81"/>
      <c r="F26" s="81"/>
      <c r="G26" s="81"/>
      <c r="H26" s="81"/>
      <c r="I26" s="81"/>
      <c r="J26" s="81"/>
      <c r="K26" s="81"/>
      <c r="L26" s="81"/>
      <c r="M26" s="81"/>
      <c r="N26" s="81"/>
      <c r="O26" s="81"/>
    </row>
    <row r="27" spans="1:15" ht="20.25" x14ac:dyDescent="0.25">
      <c r="A27" s="101"/>
      <c r="B27" s="101"/>
      <c r="C27" s="103"/>
      <c r="D27" s="103"/>
      <c r="E27" s="81"/>
      <c r="F27" s="81"/>
      <c r="G27" s="81"/>
      <c r="H27" s="81"/>
      <c r="I27" s="81"/>
      <c r="J27" s="81"/>
      <c r="K27" s="81"/>
      <c r="L27" s="81"/>
      <c r="M27" s="81"/>
      <c r="N27" s="81"/>
      <c r="O27" s="81"/>
    </row>
    <row r="28" spans="1:15" ht="20.25" x14ac:dyDescent="0.25">
      <c r="A28" s="101"/>
      <c r="B28" s="101"/>
      <c r="C28" s="103"/>
      <c r="D28" s="103"/>
      <c r="E28" s="81"/>
      <c r="F28" s="81"/>
      <c r="G28" s="81"/>
      <c r="H28" s="81"/>
      <c r="I28" s="81"/>
      <c r="J28" s="81"/>
      <c r="K28" s="81"/>
      <c r="L28" s="81"/>
      <c r="M28" s="81"/>
      <c r="N28" s="81"/>
      <c r="O28" s="81"/>
    </row>
    <row r="29" spans="1:15" ht="20.25" x14ac:dyDescent="0.25">
      <c r="A29" s="101"/>
      <c r="B29" s="101"/>
      <c r="C29" s="103"/>
      <c r="D29" s="103"/>
      <c r="E29" s="81"/>
      <c r="F29" s="81"/>
      <c r="G29" s="81"/>
      <c r="H29" s="81"/>
      <c r="I29" s="81"/>
      <c r="J29" s="81"/>
      <c r="K29" s="81"/>
      <c r="L29" s="81"/>
      <c r="M29" s="81"/>
      <c r="N29" s="81"/>
      <c r="O29" s="81"/>
    </row>
    <row r="30" spans="1:15" ht="20.25" x14ac:dyDescent="0.25">
      <c r="A30" s="101"/>
      <c r="B30" s="101"/>
      <c r="C30" s="103"/>
      <c r="D30" s="103"/>
      <c r="E30" s="81"/>
      <c r="F30" s="81"/>
      <c r="G30" s="81"/>
      <c r="H30" s="81"/>
      <c r="I30" s="81"/>
      <c r="J30" s="81"/>
      <c r="K30" s="81"/>
      <c r="L30" s="81"/>
      <c r="M30" s="81"/>
      <c r="N30" s="81"/>
      <c r="O30" s="81"/>
    </row>
    <row r="31" spans="1:15" ht="20.25" x14ac:dyDescent="0.25">
      <c r="A31" s="101"/>
      <c r="B31" s="101"/>
      <c r="C31" s="103"/>
      <c r="D31" s="103"/>
      <c r="E31" s="81"/>
      <c r="F31" s="81"/>
      <c r="G31" s="81"/>
      <c r="H31" s="81"/>
      <c r="I31" s="81"/>
      <c r="J31" s="81"/>
      <c r="K31" s="81"/>
      <c r="L31" s="81"/>
      <c r="M31" s="81"/>
      <c r="N31" s="81"/>
      <c r="O31" s="81"/>
    </row>
    <row r="32" spans="1:15" ht="20.25" x14ac:dyDescent="0.25">
      <c r="A32" s="101"/>
      <c r="B32" s="101"/>
      <c r="C32" s="103"/>
      <c r="D32" s="103"/>
      <c r="E32" s="81"/>
      <c r="F32" s="81"/>
      <c r="G32" s="81"/>
      <c r="H32" s="81"/>
      <c r="I32" s="81"/>
      <c r="J32" s="81"/>
      <c r="K32" s="81"/>
      <c r="L32" s="81"/>
      <c r="M32" s="81"/>
      <c r="N32" s="81"/>
      <c r="O32" s="81"/>
    </row>
    <row r="33" spans="1:15" ht="20.25" x14ac:dyDescent="0.25">
      <c r="A33" s="101"/>
      <c r="B33" s="101"/>
      <c r="C33" s="103"/>
      <c r="D33" s="103"/>
      <c r="E33" s="81"/>
      <c r="F33" s="81"/>
      <c r="G33" s="81"/>
      <c r="H33" s="81"/>
      <c r="I33" s="81"/>
      <c r="J33" s="81"/>
      <c r="K33" s="81"/>
      <c r="L33" s="81"/>
      <c r="M33" s="81"/>
      <c r="N33" s="81"/>
      <c r="O33" s="81"/>
    </row>
    <row r="34" spans="1:15" ht="20.25" x14ac:dyDescent="0.25">
      <c r="A34" s="101"/>
      <c r="B34" s="101"/>
      <c r="C34" s="103"/>
      <c r="D34" s="103"/>
      <c r="E34" s="81"/>
      <c r="F34" s="81"/>
      <c r="G34" s="81"/>
      <c r="H34" s="81"/>
      <c r="I34" s="81"/>
      <c r="J34" s="81"/>
      <c r="K34" s="81"/>
      <c r="L34" s="81"/>
      <c r="M34" s="81"/>
      <c r="N34" s="81"/>
      <c r="O34" s="81"/>
    </row>
    <row r="35" spans="1:15" ht="20.25" x14ac:dyDescent="0.25">
      <c r="A35" s="101"/>
      <c r="B35" s="101"/>
      <c r="C35" s="103"/>
      <c r="D35" s="103"/>
      <c r="E35" s="81"/>
      <c r="F35" s="81"/>
      <c r="G35" s="81"/>
      <c r="H35" s="81"/>
      <c r="I35" s="81"/>
      <c r="J35" s="81"/>
      <c r="K35" s="81"/>
      <c r="L35" s="81"/>
      <c r="M35" s="81"/>
      <c r="N35" s="81"/>
      <c r="O35" s="81"/>
    </row>
    <row r="36" spans="1:15" ht="20.25" x14ac:dyDescent="0.25">
      <c r="A36" s="101"/>
      <c r="B36" s="101"/>
      <c r="C36" s="103"/>
      <c r="D36" s="103"/>
      <c r="E36" s="81"/>
      <c r="F36" s="81"/>
      <c r="G36" s="81"/>
      <c r="H36" s="81"/>
      <c r="I36" s="81"/>
      <c r="J36" s="81"/>
      <c r="K36" s="81"/>
      <c r="L36" s="81"/>
      <c r="M36" s="81"/>
      <c r="N36" s="81"/>
      <c r="O36" s="81"/>
    </row>
    <row r="37" spans="1:15" ht="20.25" x14ac:dyDescent="0.25">
      <c r="A37" s="101"/>
      <c r="B37" s="101"/>
      <c r="C37" s="103"/>
      <c r="D37" s="103"/>
      <c r="E37" s="81"/>
      <c r="F37" s="81"/>
      <c r="G37" s="81"/>
      <c r="H37" s="81"/>
      <c r="I37" s="81"/>
      <c r="J37" s="81"/>
      <c r="K37" s="81"/>
      <c r="L37" s="81"/>
      <c r="M37" s="81"/>
      <c r="N37" s="81"/>
      <c r="O37" s="81"/>
    </row>
    <row r="38" spans="1:15" ht="20.25" x14ac:dyDescent="0.25">
      <c r="A38" s="101"/>
      <c r="B38" s="101"/>
      <c r="C38" s="103"/>
      <c r="D38" s="103"/>
      <c r="E38" s="81"/>
      <c r="F38" s="81"/>
      <c r="G38" s="81"/>
      <c r="H38" s="81"/>
      <c r="I38" s="81"/>
      <c r="J38" s="81"/>
      <c r="K38" s="81"/>
      <c r="L38" s="81"/>
      <c r="M38" s="81"/>
      <c r="N38" s="81"/>
      <c r="O38" s="81"/>
    </row>
    <row r="39" spans="1:15" ht="20.25" x14ac:dyDescent="0.25">
      <c r="A39" s="101"/>
      <c r="B39" s="101"/>
      <c r="C39" s="103"/>
      <c r="D39" s="103"/>
      <c r="E39" s="81"/>
      <c r="F39" s="81"/>
      <c r="G39" s="81"/>
      <c r="H39" s="81"/>
      <c r="I39" s="81"/>
      <c r="J39" s="81"/>
      <c r="K39" s="81"/>
      <c r="L39" s="81"/>
      <c r="M39" s="81"/>
      <c r="N39" s="81"/>
      <c r="O39" s="81"/>
    </row>
    <row r="40" spans="1:15" ht="20.25" x14ac:dyDescent="0.25">
      <c r="A40" s="101"/>
      <c r="B40" s="101"/>
      <c r="C40" s="103"/>
      <c r="D40" s="103"/>
      <c r="E40" s="81"/>
      <c r="F40" s="81"/>
      <c r="G40" s="81"/>
      <c r="H40" s="81"/>
      <c r="I40" s="81"/>
      <c r="J40" s="81"/>
      <c r="K40" s="81"/>
      <c r="L40" s="81"/>
      <c r="M40" s="81"/>
      <c r="N40" s="81"/>
      <c r="O40" s="81"/>
    </row>
    <row r="41" spans="1:15" ht="20.25" x14ac:dyDescent="0.25">
      <c r="A41" s="101"/>
      <c r="B41" s="101"/>
      <c r="C41" s="103"/>
      <c r="D41" s="103"/>
      <c r="E41" s="81"/>
      <c r="F41" s="81"/>
      <c r="G41" s="81"/>
      <c r="H41" s="81"/>
      <c r="I41" s="81"/>
      <c r="J41" s="81"/>
      <c r="K41" s="81"/>
      <c r="L41" s="81"/>
      <c r="M41" s="81"/>
      <c r="N41" s="81"/>
      <c r="O41" s="81"/>
    </row>
    <row r="42" spans="1:15" ht="20.25" x14ac:dyDescent="0.25">
      <c r="A42" s="101"/>
      <c r="B42" s="101"/>
      <c r="C42" s="103"/>
      <c r="D42" s="103"/>
      <c r="E42" s="81"/>
      <c r="F42" s="81"/>
      <c r="G42" s="81"/>
      <c r="H42" s="81"/>
      <c r="I42" s="81"/>
      <c r="J42" s="81"/>
      <c r="K42" s="81"/>
      <c r="L42" s="81"/>
      <c r="M42" s="81"/>
      <c r="N42" s="81"/>
      <c r="O42" s="81"/>
    </row>
    <row r="43" spans="1:15" ht="20.25" x14ac:dyDescent="0.25">
      <c r="A43" s="101"/>
      <c r="B43" s="101"/>
      <c r="C43" s="103"/>
      <c r="D43" s="103"/>
      <c r="E43" s="81"/>
      <c r="F43" s="81"/>
      <c r="G43" s="81"/>
      <c r="H43" s="81"/>
      <c r="I43" s="81"/>
      <c r="J43" s="81"/>
      <c r="K43" s="81"/>
      <c r="L43" s="81"/>
      <c r="M43" s="81"/>
      <c r="N43" s="81"/>
      <c r="O43" s="81"/>
    </row>
    <row r="44" spans="1:15" ht="20.25" x14ac:dyDescent="0.25">
      <c r="A44" s="101"/>
      <c r="B44" s="101"/>
      <c r="C44" s="103"/>
      <c r="D44" s="103"/>
      <c r="E44" s="81"/>
      <c r="F44" s="81"/>
      <c r="G44" s="81"/>
      <c r="H44" s="81"/>
      <c r="I44" s="81"/>
      <c r="J44" s="81"/>
      <c r="K44" s="81"/>
      <c r="L44" s="81"/>
      <c r="M44" s="81"/>
      <c r="N44" s="81"/>
      <c r="O44" s="81"/>
    </row>
    <row r="45" spans="1:15" ht="20.25" x14ac:dyDescent="0.25">
      <c r="A45" s="101"/>
      <c r="B45" s="101"/>
      <c r="C45" s="103"/>
      <c r="D45" s="103"/>
      <c r="E45" s="81"/>
      <c r="F45" s="81"/>
      <c r="G45" s="81"/>
      <c r="H45" s="81"/>
      <c r="I45" s="81"/>
      <c r="J45" s="81"/>
      <c r="K45" s="81"/>
      <c r="L45" s="81"/>
      <c r="M45" s="81"/>
      <c r="N45" s="81"/>
      <c r="O45" s="81"/>
    </row>
    <row r="46" spans="1:15" ht="20.25" x14ac:dyDescent="0.25">
      <c r="A46" s="101"/>
      <c r="B46" s="101"/>
      <c r="C46" s="103"/>
      <c r="D46" s="103"/>
      <c r="E46" s="81"/>
      <c r="F46" s="81"/>
      <c r="G46" s="81"/>
      <c r="H46" s="81"/>
      <c r="I46" s="81"/>
      <c r="J46" s="81"/>
      <c r="K46" s="81"/>
      <c r="L46" s="81"/>
      <c r="M46" s="81"/>
      <c r="N46" s="81"/>
      <c r="O46" s="81"/>
    </row>
    <row r="47" spans="1:15" ht="20.25" x14ac:dyDescent="0.25">
      <c r="A47" s="101"/>
      <c r="B47" s="101"/>
      <c r="C47" s="103"/>
      <c r="D47" s="103"/>
      <c r="E47" s="81"/>
      <c r="F47" s="81"/>
      <c r="G47" s="81"/>
      <c r="H47" s="81"/>
      <c r="I47" s="81"/>
      <c r="J47" s="81"/>
      <c r="K47" s="81"/>
      <c r="L47" s="81"/>
      <c r="M47" s="81"/>
      <c r="N47" s="81"/>
      <c r="O47" s="81"/>
    </row>
    <row r="48" spans="1:15" ht="20.25" x14ac:dyDescent="0.25">
      <c r="A48" s="101"/>
      <c r="B48" s="101"/>
      <c r="C48" s="103"/>
      <c r="D48" s="103"/>
      <c r="E48" s="81"/>
      <c r="F48" s="81"/>
      <c r="G48" s="81"/>
      <c r="H48" s="81"/>
      <c r="I48" s="81"/>
      <c r="J48" s="81"/>
      <c r="K48" s="81"/>
      <c r="L48" s="81"/>
      <c r="M48" s="81"/>
      <c r="N48" s="81"/>
      <c r="O48" s="81"/>
    </row>
    <row r="49" spans="1:15" ht="20.25" x14ac:dyDescent="0.25">
      <c r="A49" s="101"/>
      <c r="B49" s="101"/>
      <c r="C49" s="103"/>
      <c r="D49" s="103"/>
      <c r="E49" s="81"/>
      <c r="F49" s="81"/>
      <c r="G49" s="81"/>
      <c r="H49" s="81"/>
      <c r="I49" s="81"/>
      <c r="J49" s="81"/>
      <c r="K49" s="81"/>
      <c r="L49" s="81"/>
      <c r="M49" s="81"/>
      <c r="N49" s="81"/>
      <c r="O49" s="81"/>
    </row>
    <row r="50" spans="1:15" ht="20.25" x14ac:dyDescent="0.25">
      <c r="A50" s="101"/>
      <c r="B50" s="101"/>
      <c r="C50" s="103"/>
      <c r="D50" s="103"/>
      <c r="E50" s="81"/>
      <c r="F50" s="81"/>
      <c r="G50" s="81"/>
      <c r="H50" s="81"/>
      <c r="I50" s="81"/>
      <c r="J50" s="81"/>
      <c r="K50" s="81"/>
      <c r="L50" s="81"/>
      <c r="M50" s="81"/>
      <c r="N50" s="81"/>
      <c r="O50" s="81"/>
    </row>
    <row r="51" spans="1:15" ht="20.25" x14ac:dyDescent="0.25">
      <c r="A51" s="101"/>
      <c r="B51" s="101"/>
      <c r="C51" s="103"/>
      <c r="D51" s="103"/>
      <c r="E51" s="81"/>
      <c r="F51" s="81"/>
      <c r="G51" s="81"/>
      <c r="H51" s="81"/>
      <c r="I51" s="81"/>
      <c r="J51" s="81"/>
      <c r="K51" s="81"/>
      <c r="L51" s="81"/>
      <c r="M51" s="81"/>
      <c r="N51" s="81"/>
      <c r="O51" s="81"/>
    </row>
    <row r="52" spans="1:15" ht="20.25" x14ac:dyDescent="0.25">
      <c r="A52" s="101"/>
      <c r="B52" s="22"/>
      <c r="C52" s="32"/>
      <c r="D52" s="32"/>
    </row>
    <row r="53" spans="1:15" ht="20.25" x14ac:dyDescent="0.25">
      <c r="A53" s="101"/>
      <c r="B53" s="22"/>
      <c r="C53" s="32"/>
      <c r="D53" s="32"/>
    </row>
    <row r="54" spans="1:15" ht="20.25" x14ac:dyDescent="0.25">
      <c r="A54" s="101"/>
      <c r="B54" s="22"/>
      <c r="C54" s="32"/>
      <c r="D54" s="32"/>
    </row>
    <row r="55" spans="1:15" ht="20.25" x14ac:dyDescent="0.25">
      <c r="A55" s="101"/>
      <c r="B55" s="22"/>
      <c r="C55" s="32"/>
      <c r="D55" s="32"/>
    </row>
    <row r="56" spans="1:15" ht="20.25" x14ac:dyDescent="0.25">
      <c r="A56" s="101"/>
      <c r="B56" s="22"/>
      <c r="C56" s="32"/>
      <c r="D56" s="32"/>
    </row>
    <row r="57" spans="1:15" ht="20.25" x14ac:dyDescent="0.25">
      <c r="A57" s="101"/>
      <c r="B57" s="22"/>
      <c r="C57" s="32"/>
      <c r="D57" s="32"/>
    </row>
    <row r="58" spans="1:15" ht="20.25" x14ac:dyDescent="0.25">
      <c r="A58" s="101"/>
      <c r="B58" s="22"/>
      <c r="C58" s="32"/>
      <c r="D58" s="32"/>
    </row>
    <row r="59" spans="1:15" ht="20.25" x14ac:dyDescent="0.25">
      <c r="A59" s="101"/>
      <c r="B59" s="22"/>
      <c r="C59" s="32"/>
      <c r="D59" s="32"/>
    </row>
    <row r="60" spans="1:15" ht="20.25" x14ac:dyDescent="0.25">
      <c r="A60" s="101"/>
      <c r="B60" s="22"/>
      <c r="C60" s="32"/>
      <c r="D60" s="32"/>
    </row>
    <row r="61" spans="1:15" ht="20.25" x14ac:dyDescent="0.25">
      <c r="A61" s="101"/>
      <c r="B61" s="22"/>
      <c r="C61" s="32"/>
      <c r="D61" s="32"/>
    </row>
    <row r="62" spans="1:15" ht="20.25" x14ac:dyDescent="0.25">
      <c r="A62" s="101"/>
      <c r="B62" s="22"/>
      <c r="C62" s="32"/>
      <c r="D62" s="32"/>
    </row>
    <row r="63" spans="1:15" ht="20.25" x14ac:dyDescent="0.25">
      <c r="A63" s="101"/>
      <c r="B63" s="22"/>
      <c r="C63" s="32"/>
      <c r="D63" s="32"/>
    </row>
    <row r="64" spans="1:15" ht="20.25" x14ac:dyDescent="0.25">
      <c r="A64" s="101"/>
      <c r="B64" s="22"/>
      <c r="C64" s="32"/>
      <c r="D64" s="32"/>
    </row>
    <row r="65" spans="1:4" ht="20.25" x14ac:dyDescent="0.25">
      <c r="A65" s="101"/>
      <c r="B65" s="22"/>
      <c r="C65" s="32"/>
      <c r="D65" s="32"/>
    </row>
    <row r="66" spans="1:4" ht="20.25" x14ac:dyDescent="0.25">
      <c r="A66" s="101"/>
      <c r="B66" s="22"/>
      <c r="C66" s="32"/>
      <c r="D66" s="32"/>
    </row>
    <row r="67" spans="1:4" ht="20.25" x14ac:dyDescent="0.25">
      <c r="A67" s="101"/>
      <c r="B67" s="22"/>
      <c r="C67" s="32"/>
      <c r="D67" s="32"/>
    </row>
    <row r="68" spans="1:4" ht="20.25" x14ac:dyDescent="0.25">
      <c r="A68" s="101"/>
      <c r="B68" s="22"/>
      <c r="C68" s="32"/>
      <c r="D68" s="32"/>
    </row>
    <row r="69" spans="1:4" ht="20.25" x14ac:dyDescent="0.25">
      <c r="A69" s="101"/>
      <c r="B69" s="22"/>
      <c r="C69" s="32"/>
      <c r="D69" s="32"/>
    </row>
    <row r="70" spans="1:4" ht="20.25" x14ac:dyDescent="0.25">
      <c r="A70" s="101"/>
      <c r="B70" s="22"/>
      <c r="C70" s="32"/>
      <c r="D70" s="32"/>
    </row>
    <row r="71" spans="1:4" ht="20.25" x14ac:dyDescent="0.25">
      <c r="A71" s="101"/>
      <c r="B71" s="22"/>
      <c r="C71" s="32"/>
      <c r="D71" s="32"/>
    </row>
    <row r="72" spans="1:4" ht="20.25" x14ac:dyDescent="0.25">
      <c r="A72" s="101"/>
      <c r="B72" s="22"/>
      <c r="C72" s="32"/>
      <c r="D72" s="32"/>
    </row>
    <row r="73" spans="1:4" ht="20.25" x14ac:dyDescent="0.25">
      <c r="A73" s="101"/>
      <c r="B73" s="22"/>
      <c r="C73" s="32"/>
      <c r="D73" s="32"/>
    </row>
    <row r="74" spans="1:4" ht="20.25" x14ac:dyDescent="0.25">
      <c r="A74" s="101"/>
      <c r="B74" s="22"/>
      <c r="C74" s="32"/>
      <c r="D74" s="32"/>
    </row>
    <row r="75" spans="1:4" ht="20.25" x14ac:dyDescent="0.25">
      <c r="A75" s="101"/>
      <c r="B75" s="22"/>
      <c r="C75" s="32"/>
      <c r="D75" s="32"/>
    </row>
    <row r="76" spans="1:4" ht="20.25" x14ac:dyDescent="0.25">
      <c r="A76" s="101"/>
      <c r="B76" s="22"/>
      <c r="C76" s="32"/>
      <c r="D76" s="32"/>
    </row>
    <row r="77" spans="1:4" ht="20.25" x14ac:dyDescent="0.25">
      <c r="A77" s="101"/>
      <c r="B77" s="22"/>
      <c r="C77" s="32"/>
      <c r="D77" s="32"/>
    </row>
    <row r="78" spans="1:4" ht="20.25" x14ac:dyDescent="0.25">
      <c r="A78" s="101"/>
      <c r="B78" s="22"/>
      <c r="C78" s="32"/>
      <c r="D78" s="32"/>
    </row>
    <row r="79" spans="1:4" ht="20.25" x14ac:dyDescent="0.25">
      <c r="A79" s="101"/>
      <c r="B79" s="22"/>
      <c r="C79" s="32"/>
      <c r="D79" s="32"/>
    </row>
    <row r="80" spans="1:4" ht="20.25" x14ac:dyDescent="0.25">
      <c r="A80" s="101"/>
      <c r="B80" s="22"/>
      <c r="C80" s="32"/>
      <c r="D80" s="32"/>
    </row>
    <row r="81" spans="1:4" ht="20.25" x14ac:dyDescent="0.25">
      <c r="A81" s="101"/>
      <c r="B81" s="22"/>
      <c r="C81" s="32"/>
      <c r="D81" s="32"/>
    </row>
    <row r="82" spans="1:4" ht="20.25" x14ac:dyDescent="0.25">
      <c r="A82" s="101"/>
      <c r="B82" s="22"/>
      <c r="C82" s="32"/>
      <c r="D82" s="32"/>
    </row>
    <row r="83" spans="1:4" ht="20.25" x14ac:dyDescent="0.25">
      <c r="A83" s="101"/>
      <c r="B83" s="22"/>
      <c r="C83" s="32"/>
      <c r="D83" s="32"/>
    </row>
    <row r="84" spans="1:4" ht="20.25" x14ac:dyDescent="0.25">
      <c r="A84" s="101"/>
      <c r="B84" s="22"/>
      <c r="C84" s="32"/>
      <c r="D84" s="32"/>
    </row>
    <row r="85" spans="1:4" ht="20.25" x14ac:dyDescent="0.25">
      <c r="A85" s="101"/>
      <c r="B85" s="22"/>
      <c r="C85" s="32"/>
      <c r="D85" s="32"/>
    </row>
    <row r="86" spans="1:4" ht="20.25" x14ac:dyDescent="0.25">
      <c r="A86" s="101"/>
      <c r="B86" s="22"/>
      <c r="C86" s="32"/>
      <c r="D86" s="32"/>
    </row>
    <row r="87" spans="1:4" ht="20.25" x14ac:dyDescent="0.25">
      <c r="A87" s="101"/>
      <c r="B87" s="22"/>
      <c r="C87" s="32"/>
      <c r="D87" s="32"/>
    </row>
    <row r="88" spans="1:4" ht="20.25" x14ac:dyDescent="0.25">
      <c r="A88" s="101"/>
      <c r="B88" s="22"/>
      <c r="C88" s="32"/>
      <c r="D88" s="32"/>
    </row>
    <row r="89" spans="1:4" ht="20.25" x14ac:dyDescent="0.25">
      <c r="A89" s="101"/>
      <c r="B89" s="22"/>
      <c r="C89" s="32"/>
      <c r="D89" s="32"/>
    </row>
    <row r="90" spans="1:4" ht="20.25" x14ac:dyDescent="0.25">
      <c r="A90" s="101"/>
      <c r="B90" s="22"/>
      <c r="C90" s="32"/>
      <c r="D90" s="32"/>
    </row>
    <row r="91" spans="1:4" ht="20.25" x14ac:dyDescent="0.25">
      <c r="A91" s="101"/>
      <c r="B91" s="22"/>
      <c r="C91" s="32"/>
      <c r="D91" s="32"/>
    </row>
    <row r="92" spans="1:4" ht="20.25" x14ac:dyDescent="0.25">
      <c r="A92" s="101"/>
      <c r="B92" s="22"/>
      <c r="C92" s="32"/>
      <c r="D92" s="32"/>
    </row>
    <row r="93" spans="1:4" ht="20.25" x14ac:dyDescent="0.25">
      <c r="A93" s="101"/>
      <c r="B93" s="22"/>
      <c r="C93" s="32"/>
      <c r="D93" s="32"/>
    </row>
    <row r="94" spans="1:4" ht="20.25" x14ac:dyDescent="0.25">
      <c r="A94" s="101"/>
      <c r="B94" s="22"/>
      <c r="C94" s="32"/>
      <c r="D94" s="32"/>
    </row>
    <row r="95" spans="1:4" ht="20.25" x14ac:dyDescent="0.25">
      <c r="A95" s="101"/>
      <c r="B95" s="22"/>
      <c r="C95" s="32"/>
      <c r="D95" s="32"/>
    </row>
    <row r="96" spans="1:4" ht="20.25" x14ac:dyDescent="0.25">
      <c r="A96" s="101"/>
      <c r="B96" s="22"/>
      <c r="C96" s="32"/>
      <c r="D96" s="32"/>
    </row>
    <row r="97" spans="1:4" ht="20.25" x14ac:dyDescent="0.25">
      <c r="A97" s="101"/>
      <c r="B97" s="22"/>
      <c r="C97" s="32"/>
      <c r="D97" s="32"/>
    </row>
    <row r="98" spans="1:4" ht="20.25" x14ac:dyDescent="0.25">
      <c r="A98" s="101"/>
      <c r="B98" s="22"/>
      <c r="C98" s="32"/>
      <c r="D98" s="32"/>
    </row>
    <row r="99" spans="1:4" ht="20.25" x14ac:dyDescent="0.25">
      <c r="A99" s="101"/>
      <c r="B99" s="22"/>
      <c r="C99" s="32"/>
      <c r="D99" s="32"/>
    </row>
    <row r="100" spans="1:4" ht="20.25" x14ac:dyDescent="0.25">
      <c r="A100" s="101"/>
      <c r="B100" s="22"/>
      <c r="C100" s="32"/>
      <c r="D100" s="32"/>
    </row>
    <row r="101" spans="1:4" ht="20.25" x14ac:dyDescent="0.25">
      <c r="A101" s="101"/>
      <c r="B101" s="22"/>
      <c r="C101" s="32"/>
      <c r="D101" s="32"/>
    </row>
    <row r="102" spans="1:4" ht="20.25" x14ac:dyDescent="0.25">
      <c r="A102" s="101"/>
      <c r="B102" s="22"/>
      <c r="C102" s="32"/>
      <c r="D102" s="32"/>
    </row>
    <row r="103" spans="1:4" ht="20.25" x14ac:dyDescent="0.25">
      <c r="A103" s="101"/>
      <c r="B103" s="22"/>
      <c r="C103" s="32"/>
      <c r="D103" s="32"/>
    </row>
    <row r="104" spans="1:4" ht="20.25" x14ac:dyDescent="0.25">
      <c r="A104" s="101"/>
      <c r="B104" s="22"/>
      <c r="C104" s="32"/>
      <c r="D104" s="32"/>
    </row>
    <row r="105" spans="1:4" ht="20.25" x14ac:dyDescent="0.25">
      <c r="A105" s="101"/>
      <c r="B105" s="22"/>
      <c r="C105" s="32"/>
      <c r="D105" s="32"/>
    </row>
    <row r="106" spans="1:4" ht="20.25" x14ac:dyDescent="0.25">
      <c r="A106" s="101"/>
      <c r="B106" s="22"/>
      <c r="C106" s="32"/>
      <c r="D106" s="32"/>
    </row>
    <row r="107" spans="1:4" ht="20.25" x14ac:dyDescent="0.25">
      <c r="A107" s="101"/>
      <c r="B107" s="22"/>
      <c r="C107" s="32"/>
      <c r="D107" s="32"/>
    </row>
    <row r="108" spans="1:4" ht="20.25" x14ac:dyDescent="0.25">
      <c r="A108" s="101"/>
      <c r="B108" s="22"/>
      <c r="C108" s="32"/>
      <c r="D108" s="32"/>
    </row>
    <row r="109" spans="1:4" ht="20.25" x14ac:dyDescent="0.25">
      <c r="A109" s="101"/>
      <c r="B109" s="22"/>
      <c r="C109" s="32"/>
      <c r="D109" s="32"/>
    </row>
    <row r="110" spans="1:4" ht="20.25" x14ac:dyDescent="0.25">
      <c r="A110" s="101"/>
      <c r="B110" s="22"/>
      <c r="C110" s="32"/>
      <c r="D110" s="32"/>
    </row>
    <row r="111" spans="1:4" ht="20.25" x14ac:dyDescent="0.25">
      <c r="A111" s="101"/>
      <c r="B111" s="22"/>
      <c r="C111" s="32"/>
      <c r="D111" s="32"/>
    </row>
    <row r="112" spans="1:4" ht="20.25" x14ac:dyDescent="0.25">
      <c r="A112" s="101"/>
      <c r="B112" s="22"/>
      <c r="C112" s="32"/>
      <c r="D112" s="32"/>
    </row>
    <row r="113" spans="1:4" ht="20.25" x14ac:dyDescent="0.25">
      <c r="A113" s="101"/>
      <c r="B113" s="22"/>
      <c r="C113" s="32"/>
      <c r="D113" s="32"/>
    </row>
    <row r="114" spans="1:4" ht="20.25" x14ac:dyDescent="0.25">
      <c r="A114" s="101"/>
      <c r="B114" s="22"/>
      <c r="C114" s="32"/>
      <c r="D114" s="32"/>
    </row>
    <row r="115" spans="1:4" ht="20.25" x14ac:dyDescent="0.25">
      <c r="A115" s="101"/>
      <c r="B115" s="22"/>
      <c r="C115" s="32"/>
      <c r="D115" s="32"/>
    </row>
    <row r="116" spans="1:4" ht="20.25" x14ac:dyDescent="0.25">
      <c r="A116" s="101"/>
      <c r="B116" s="22"/>
      <c r="C116" s="32"/>
      <c r="D116" s="32"/>
    </row>
    <row r="117" spans="1:4" ht="20.25" x14ac:dyDescent="0.25">
      <c r="A117" s="101"/>
      <c r="B117" s="22"/>
      <c r="C117" s="32"/>
      <c r="D117" s="32"/>
    </row>
    <row r="118" spans="1:4" ht="20.25" x14ac:dyDescent="0.25">
      <c r="A118" s="101"/>
      <c r="B118" s="22"/>
      <c r="C118" s="32"/>
      <c r="D118" s="32"/>
    </row>
    <row r="119" spans="1:4" ht="20.25" x14ac:dyDescent="0.25">
      <c r="A119" s="101"/>
      <c r="B119" s="22"/>
      <c r="C119" s="32"/>
      <c r="D119" s="32"/>
    </row>
    <row r="120" spans="1:4" ht="20.25" x14ac:dyDescent="0.25">
      <c r="A120" s="101"/>
      <c r="B120" s="22"/>
      <c r="C120" s="32"/>
      <c r="D120" s="32"/>
    </row>
    <row r="121" spans="1:4" ht="20.25" x14ac:dyDescent="0.25">
      <c r="A121" s="101"/>
      <c r="B121" s="22"/>
      <c r="C121" s="32"/>
      <c r="D121" s="32"/>
    </row>
    <row r="122" spans="1:4" ht="20.25" x14ac:dyDescent="0.25">
      <c r="A122" s="101"/>
      <c r="B122" s="22"/>
      <c r="C122" s="32"/>
      <c r="D122" s="32"/>
    </row>
    <row r="123" spans="1:4" ht="20.25" x14ac:dyDescent="0.25">
      <c r="A123" s="101"/>
      <c r="B123" s="22"/>
      <c r="C123" s="32"/>
      <c r="D123" s="32"/>
    </row>
    <row r="124" spans="1:4" ht="20.25" x14ac:dyDescent="0.25">
      <c r="A124" s="101"/>
      <c r="B124" s="22"/>
      <c r="C124" s="32"/>
      <c r="D124" s="32"/>
    </row>
    <row r="125" spans="1:4" ht="20.25" x14ac:dyDescent="0.25">
      <c r="A125" s="101"/>
      <c r="B125" s="22"/>
      <c r="C125" s="32"/>
      <c r="D125" s="32"/>
    </row>
    <row r="126" spans="1:4" ht="20.25" x14ac:dyDescent="0.25">
      <c r="A126" s="101"/>
      <c r="B126" s="22"/>
      <c r="C126" s="32"/>
      <c r="D126" s="32"/>
    </row>
    <row r="127" spans="1:4" ht="20.25" x14ac:dyDescent="0.25">
      <c r="A127" s="101"/>
      <c r="B127" s="22"/>
      <c r="C127" s="32"/>
      <c r="D127" s="32"/>
    </row>
    <row r="128" spans="1:4" ht="20.25" x14ac:dyDescent="0.25">
      <c r="A128" s="101"/>
      <c r="B128" s="22"/>
      <c r="C128" s="32"/>
      <c r="D128" s="32"/>
    </row>
    <row r="129" spans="1:4" ht="20.25" x14ac:dyDescent="0.25">
      <c r="A129" s="101"/>
      <c r="B129" s="22"/>
      <c r="C129" s="32"/>
      <c r="D129" s="32"/>
    </row>
    <row r="130" spans="1:4" ht="20.25" x14ac:dyDescent="0.25">
      <c r="A130" s="101"/>
      <c r="B130" s="22"/>
      <c r="C130" s="32"/>
      <c r="D130" s="32"/>
    </row>
    <row r="131" spans="1:4" ht="20.25" x14ac:dyDescent="0.25">
      <c r="A131" s="101"/>
      <c r="B131" s="22"/>
      <c r="C131" s="32"/>
      <c r="D131" s="32"/>
    </row>
    <row r="132" spans="1:4" ht="20.25" x14ac:dyDescent="0.25">
      <c r="A132" s="101"/>
      <c r="B132" s="22"/>
      <c r="C132" s="32"/>
      <c r="D132" s="32"/>
    </row>
    <row r="133" spans="1:4" ht="20.25" x14ac:dyDescent="0.25">
      <c r="A133" s="101"/>
      <c r="B133" s="22"/>
      <c r="C133" s="32"/>
      <c r="D133" s="32"/>
    </row>
    <row r="134" spans="1:4" ht="20.25" x14ac:dyDescent="0.25">
      <c r="A134" s="101"/>
      <c r="B134" s="22"/>
      <c r="C134" s="32"/>
      <c r="D134" s="32"/>
    </row>
    <row r="135" spans="1:4" ht="20.25" x14ac:dyDescent="0.25">
      <c r="A135" s="101"/>
      <c r="B135" s="22"/>
      <c r="C135" s="32"/>
      <c r="D135" s="32"/>
    </row>
    <row r="136" spans="1:4" ht="20.25" x14ac:dyDescent="0.25">
      <c r="A136" s="101"/>
      <c r="B136" s="22"/>
      <c r="C136" s="32"/>
      <c r="D136" s="32"/>
    </row>
    <row r="137" spans="1:4" ht="20.25" x14ac:dyDescent="0.25">
      <c r="A137" s="101"/>
      <c r="B137" s="22"/>
      <c r="C137" s="32"/>
      <c r="D137" s="32"/>
    </row>
    <row r="138" spans="1:4" ht="20.25" x14ac:dyDescent="0.25">
      <c r="A138" s="101"/>
      <c r="B138" s="22"/>
      <c r="C138" s="32"/>
      <c r="D138" s="32"/>
    </row>
    <row r="139" spans="1:4" ht="20.25" x14ac:dyDescent="0.25">
      <c r="A139" s="101"/>
      <c r="B139" s="22"/>
      <c r="C139" s="32"/>
      <c r="D139" s="32"/>
    </row>
    <row r="140" spans="1:4" ht="20.25" x14ac:dyDescent="0.25">
      <c r="A140" s="101"/>
      <c r="B140" s="22"/>
      <c r="C140" s="32"/>
      <c r="D140" s="32"/>
    </row>
    <row r="141" spans="1:4" ht="20.25" x14ac:dyDescent="0.25">
      <c r="A141" s="101"/>
      <c r="B141" s="22"/>
      <c r="C141" s="32"/>
      <c r="D141" s="32"/>
    </row>
    <row r="142" spans="1:4" ht="20.25" x14ac:dyDescent="0.25">
      <c r="A142" s="101"/>
      <c r="B142" s="22"/>
      <c r="C142" s="32"/>
      <c r="D142" s="32"/>
    </row>
    <row r="143" spans="1:4" ht="20.25" x14ac:dyDescent="0.25">
      <c r="A143" s="101"/>
      <c r="B143" s="22"/>
      <c r="C143" s="32"/>
      <c r="D143" s="32"/>
    </row>
    <row r="144" spans="1:4" ht="20.25" x14ac:dyDescent="0.25">
      <c r="A144" s="101"/>
      <c r="B144" s="22"/>
      <c r="C144" s="32"/>
      <c r="D144" s="32"/>
    </row>
    <row r="145" spans="1:4" ht="20.25" x14ac:dyDescent="0.25">
      <c r="A145" s="101"/>
      <c r="B145" s="22"/>
      <c r="C145" s="32"/>
      <c r="D145" s="32"/>
    </row>
    <row r="146" spans="1:4" ht="20.25" x14ac:dyDescent="0.25">
      <c r="A146" s="101"/>
      <c r="B146" s="22"/>
      <c r="C146" s="32"/>
      <c r="D146" s="32"/>
    </row>
    <row r="147" spans="1:4" ht="20.25" x14ac:dyDescent="0.25">
      <c r="A147" s="101"/>
      <c r="B147" s="22"/>
      <c r="C147" s="32"/>
      <c r="D147" s="32"/>
    </row>
    <row r="148" spans="1:4" ht="20.25" x14ac:dyDescent="0.25">
      <c r="A148" s="101"/>
      <c r="B148" s="22"/>
      <c r="C148" s="32"/>
      <c r="D148" s="32"/>
    </row>
    <row r="149" spans="1:4" ht="20.25" x14ac:dyDescent="0.25">
      <c r="A149" s="101"/>
      <c r="B149" s="22"/>
      <c r="C149" s="32"/>
      <c r="D149" s="32"/>
    </row>
    <row r="150" spans="1:4" ht="20.25" x14ac:dyDescent="0.25">
      <c r="A150" s="101"/>
      <c r="B150" s="22"/>
      <c r="C150" s="32"/>
      <c r="D150" s="32"/>
    </row>
    <row r="151" spans="1:4" ht="20.25" x14ac:dyDescent="0.25">
      <c r="A151" s="101"/>
      <c r="B151" s="22"/>
      <c r="C151" s="32"/>
      <c r="D151" s="32"/>
    </row>
    <row r="152" spans="1:4" ht="20.25" x14ac:dyDescent="0.25">
      <c r="A152" s="101"/>
      <c r="B152" s="22"/>
      <c r="C152" s="32"/>
      <c r="D152" s="32"/>
    </row>
    <row r="153" spans="1:4" ht="20.25" x14ac:dyDescent="0.25">
      <c r="A153" s="101"/>
      <c r="B153" s="22"/>
      <c r="C153" s="32"/>
      <c r="D153" s="32"/>
    </row>
    <row r="154" spans="1:4" ht="20.25" x14ac:dyDescent="0.25">
      <c r="A154" s="101"/>
      <c r="B154" s="22"/>
      <c r="C154" s="32"/>
      <c r="D154" s="32"/>
    </row>
    <row r="155" spans="1:4" ht="20.25" x14ac:dyDescent="0.25">
      <c r="A155" s="101"/>
      <c r="B155" s="22"/>
      <c r="C155" s="32"/>
      <c r="D155" s="32"/>
    </row>
    <row r="156" spans="1:4" ht="20.25" x14ac:dyDescent="0.25">
      <c r="A156" s="101"/>
      <c r="B156" s="22"/>
      <c r="C156" s="32"/>
      <c r="D156" s="32"/>
    </row>
    <row r="157" spans="1:4" ht="20.25" x14ac:dyDescent="0.25">
      <c r="A157" s="101"/>
      <c r="B157" s="22"/>
      <c r="C157" s="32"/>
      <c r="D157" s="32"/>
    </row>
    <row r="158" spans="1:4" ht="20.25" x14ac:dyDescent="0.25">
      <c r="A158" s="101"/>
      <c r="B158" s="22"/>
      <c r="C158" s="32"/>
      <c r="D158" s="32"/>
    </row>
    <row r="159" spans="1:4" ht="20.25" x14ac:dyDescent="0.25">
      <c r="A159" s="101"/>
      <c r="B159" s="22"/>
      <c r="C159" s="32"/>
      <c r="D159" s="32"/>
    </row>
    <row r="160" spans="1:4" ht="20.25" x14ac:dyDescent="0.25">
      <c r="A160" s="101"/>
      <c r="B160" s="22"/>
      <c r="C160" s="32"/>
      <c r="D160" s="32"/>
    </row>
    <row r="161" spans="1:4" ht="20.25" x14ac:dyDescent="0.25">
      <c r="A161" s="101"/>
      <c r="B161" s="22"/>
      <c r="C161" s="32"/>
      <c r="D161" s="32"/>
    </row>
    <row r="162" spans="1:4" ht="20.25" x14ac:dyDescent="0.25">
      <c r="A162" s="101"/>
      <c r="B162" s="22"/>
      <c r="C162" s="32"/>
      <c r="D162" s="32"/>
    </row>
    <row r="163" spans="1:4" ht="20.25" x14ac:dyDescent="0.25">
      <c r="A163" s="101"/>
      <c r="B163" s="22"/>
      <c r="C163" s="32"/>
      <c r="D163" s="32"/>
    </row>
    <row r="164" spans="1:4" ht="20.25" x14ac:dyDescent="0.25">
      <c r="A164" s="101"/>
      <c r="B164" s="22"/>
      <c r="C164" s="32"/>
      <c r="D164" s="32"/>
    </row>
    <row r="165" spans="1:4" ht="20.25" x14ac:dyDescent="0.25">
      <c r="A165" s="101"/>
      <c r="B165" s="22"/>
      <c r="C165" s="32"/>
      <c r="D165" s="32"/>
    </row>
    <row r="166" spans="1:4" ht="20.25" x14ac:dyDescent="0.25">
      <c r="A166" s="101"/>
      <c r="B166" s="22"/>
      <c r="C166" s="32"/>
      <c r="D166" s="32"/>
    </row>
    <row r="167" spans="1:4" ht="20.25" x14ac:dyDescent="0.25">
      <c r="A167" s="101"/>
      <c r="B167" s="22"/>
      <c r="C167" s="32"/>
      <c r="D167" s="32"/>
    </row>
    <row r="168" spans="1:4" ht="20.25" x14ac:dyDescent="0.25">
      <c r="A168" s="101"/>
      <c r="B168" s="22"/>
      <c r="C168" s="32"/>
      <c r="D168" s="32"/>
    </row>
    <row r="169" spans="1:4" ht="20.25" x14ac:dyDescent="0.25">
      <c r="A169" s="101"/>
      <c r="B169" s="22"/>
      <c r="C169" s="32"/>
      <c r="D169" s="32"/>
    </row>
    <row r="170" spans="1:4" ht="20.25" x14ac:dyDescent="0.25">
      <c r="A170" s="101"/>
      <c r="B170" s="22"/>
      <c r="C170" s="32"/>
      <c r="D170" s="32"/>
    </row>
    <row r="171" spans="1:4" ht="20.25" x14ac:dyDescent="0.25">
      <c r="A171" s="101"/>
      <c r="B171" s="22"/>
      <c r="C171" s="32"/>
      <c r="D171" s="32"/>
    </row>
    <row r="172" spans="1:4" ht="20.25" x14ac:dyDescent="0.25">
      <c r="A172" s="101"/>
      <c r="B172" s="22"/>
      <c r="C172" s="32"/>
      <c r="D172" s="32"/>
    </row>
    <row r="173" spans="1:4" ht="20.25" x14ac:dyDescent="0.25">
      <c r="A173" s="101"/>
      <c r="B173" s="22"/>
      <c r="C173" s="32"/>
      <c r="D173" s="32"/>
    </row>
    <row r="174" spans="1:4" ht="20.25" x14ac:dyDescent="0.25">
      <c r="A174" s="101"/>
      <c r="B174" s="22"/>
      <c r="C174" s="32"/>
      <c r="D174" s="32"/>
    </row>
    <row r="175" spans="1:4" ht="20.25" x14ac:dyDescent="0.25">
      <c r="A175" s="101"/>
      <c r="B175" s="22"/>
      <c r="C175" s="32"/>
      <c r="D175" s="32"/>
    </row>
    <row r="176" spans="1:4" ht="20.25" x14ac:dyDescent="0.25">
      <c r="A176" s="101"/>
      <c r="B176" s="22"/>
      <c r="C176" s="32"/>
      <c r="D176" s="32"/>
    </row>
    <row r="177" spans="1:4" ht="20.25" x14ac:dyDescent="0.25">
      <c r="A177" s="101"/>
      <c r="B177" s="22"/>
      <c r="C177" s="32"/>
      <c r="D177" s="32"/>
    </row>
    <row r="178" spans="1:4" ht="20.25" x14ac:dyDescent="0.25">
      <c r="A178" s="101"/>
      <c r="B178" s="22"/>
      <c r="C178" s="32"/>
      <c r="D178" s="32"/>
    </row>
    <row r="179" spans="1:4" ht="20.25" x14ac:dyDescent="0.25">
      <c r="A179" s="101"/>
      <c r="B179" s="22"/>
      <c r="C179" s="32"/>
      <c r="D179" s="32"/>
    </row>
    <row r="180" spans="1:4" ht="20.25" x14ac:dyDescent="0.25">
      <c r="A180" s="101"/>
      <c r="B180" s="22"/>
      <c r="C180" s="32"/>
      <c r="D180" s="32"/>
    </row>
    <row r="181" spans="1:4" ht="20.25" x14ac:dyDescent="0.25">
      <c r="A181" s="101"/>
      <c r="B181" s="22"/>
      <c r="C181" s="32"/>
      <c r="D181" s="32"/>
    </row>
    <row r="182" spans="1:4" ht="20.25" x14ac:dyDescent="0.25">
      <c r="A182" s="101"/>
      <c r="B182" s="22"/>
      <c r="C182" s="32"/>
      <c r="D182" s="32"/>
    </row>
    <row r="183" spans="1:4" ht="20.25" x14ac:dyDescent="0.25">
      <c r="A183" s="101"/>
      <c r="B183" s="22"/>
      <c r="C183" s="32"/>
      <c r="D183" s="32"/>
    </row>
    <row r="184" spans="1:4" ht="20.25" x14ac:dyDescent="0.25">
      <c r="A184" s="101"/>
      <c r="B184" s="22"/>
      <c r="C184" s="32"/>
      <c r="D184" s="32"/>
    </row>
    <row r="185" spans="1:4" ht="20.25" x14ac:dyDescent="0.25">
      <c r="A185" s="101"/>
      <c r="B185" s="22"/>
      <c r="C185" s="32"/>
      <c r="D185" s="32"/>
    </row>
    <row r="186" spans="1:4" ht="20.25" x14ac:dyDescent="0.25">
      <c r="A186" s="101"/>
      <c r="B186" s="22"/>
      <c r="C186" s="32"/>
      <c r="D186" s="32"/>
    </row>
    <row r="187" spans="1:4" ht="20.25" x14ac:dyDescent="0.25">
      <c r="A187" s="101"/>
      <c r="B187" s="22"/>
      <c r="C187" s="32"/>
      <c r="D187" s="32"/>
    </row>
    <row r="188" spans="1:4" ht="20.25" x14ac:dyDescent="0.25">
      <c r="A188" s="101"/>
      <c r="B188" s="22"/>
      <c r="C188" s="32"/>
      <c r="D188" s="32"/>
    </row>
    <row r="189" spans="1:4" ht="20.25" x14ac:dyDescent="0.25">
      <c r="A189" s="101"/>
      <c r="B189" s="22"/>
      <c r="C189" s="32"/>
      <c r="D189" s="32"/>
    </row>
    <row r="190" spans="1:4" ht="20.25" x14ac:dyDescent="0.25">
      <c r="A190" s="101"/>
      <c r="B190" s="22"/>
      <c r="C190" s="32"/>
      <c r="D190" s="32"/>
    </row>
    <row r="191" spans="1:4" ht="20.25" x14ac:dyDescent="0.25">
      <c r="A191" s="101"/>
      <c r="B191" s="22"/>
      <c r="C191" s="32"/>
      <c r="D191" s="32"/>
    </row>
    <row r="192" spans="1:4" ht="20.25" x14ac:dyDescent="0.25">
      <c r="A192" s="101"/>
      <c r="B192" s="22"/>
      <c r="C192" s="32"/>
      <c r="D192" s="32"/>
    </row>
    <row r="193" spans="1:4" ht="20.25" x14ac:dyDescent="0.25">
      <c r="A193" s="101"/>
      <c r="B193" s="22"/>
      <c r="C193" s="32"/>
      <c r="D193" s="32"/>
    </row>
    <row r="194" spans="1:4" ht="20.25" x14ac:dyDescent="0.25">
      <c r="A194" s="101"/>
      <c r="B194" s="22"/>
      <c r="C194" s="32"/>
      <c r="D194" s="32"/>
    </row>
    <row r="195" spans="1:4" ht="20.25" x14ac:dyDescent="0.25">
      <c r="A195" s="101"/>
      <c r="B195" s="22"/>
      <c r="C195" s="32"/>
      <c r="D195" s="32"/>
    </row>
    <row r="196" spans="1:4" ht="20.25" x14ac:dyDescent="0.25">
      <c r="A196" s="101"/>
      <c r="B196" s="22"/>
      <c r="C196" s="32"/>
      <c r="D196" s="32"/>
    </row>
    <row r="197" spans="1:4" ht="20.25" x14ac:dyDescent="0.25">
      <c r="A197" s="101"/>
      <c r="B197" s="22"/>
      <c r="C197" s="32"/>
      <c r="D197" s="32"/>
    </row>
    <row r="198" spans="1:4" ht="20.25" x14ac:dyDescent="0.25">
      <c r="A198" s="101"/>
      <c r="B198" s="22"/>
      <c r="C198" s="32"/>
      <c r="D198" s="32"/>
    </row>
    <row r="199" spans="1:4" ht="20.25" x14ac:dyDescent="0.25">
      <c r="A199" s="101"/>
      <c r="B199" s="22"/>
      <c r="C199" s="32"/>
      <c r="D199" s="32"/>
    </row>
    <row r="200" spans="1:4" ht="20.25" x14ac:dyDescent="0.25">
      <c r="A200" s="101"/>
      <c r="B200" s="22"/>
      <c r="C200" s="32"/>
      <c r="D200" s="32"/>
    </row>
    <row r="201" spans="1:4" ht="20.25" x14ac:dyDescent="0.25">
      <c r="A201" s="101"/>
      <c r="B201" s="22"/>
      <c r="C201" s="32"/>
      <c r="D201" s="32"/>
    </row>
    <row r="202" spans="1:4" ht="20.25" x14ac:dyDescent="0.25">
      <c r="A202" s="101"/>
      <c r="B202" s="22"/>
      <c r="C202" s="32"/>
      <c r="D202" s="32"/>
    </row>
    <row r="203" spans="1:4" ht="20.25" x14ac:dyDescent="0.25">
      <c r="A203" s="101"/>
      <c r="B203" s="22"/>
      <c r="C203" s="32"/>
      <c r="D203" s="32"/>
    </row>
    <row r="204" spans="1:4" ht="20.25" x14ac:dyDescent="0.25">
      <c r="A204" s="101"/>
      <c r="B204" s="22"/>
      <c r="C204" s="32"/>
      <c r="D204" s="32"/>
    </row>
    <row r="205" spans="1:4" ht="20.25" x14ac:dyDescent="0.25">
      <c r="A205" s="101"/>
      <c r="B205" s="22"/>
      <c r="C205" s="32"/>
      <c r="D205" s="32"/>
    </row>
    <row r="206" spans="1:4" ht="20.25" x14ac:dyDescent="0.25">
      <c r="A206" s="101"/>
      <c r="B206" s="22"/>
      <c r="C206" s="32"/>
      <c r="D206" s="32"/>
    </row>
    <row r="207" spans="1:4" ht="20.25" x14ac:dyDescent="0.25">
      <c r="A207" s="101"/>
      <c r="B207" s="22"/>
      <c r="C207" s="32"/>
      <c r="D207" s="32"/>
    </row>
    <row r="208" spans="1:4" x14ac:dyDescent="0.25">
      <c r="A208" s="81"/>
      <c r="B208" s="22"/>
      <c r="C208" s="22"/>
      <c r="D208" s="22"/>
    </row>
    <row r="209" spans="1:8" ht="20.25" x14ac:dyDescent="0.25">
      <c r="A209" s="81"/>
      <c r="B209" s="28" t="s">
        <v>88</v>
      </c>
      <c r="C209" s="28" t="s">
        <v>145</v>
      </c>
      <c r="D209" s="31" t="s">
        <v>88</v>
      </c>
      <c r="E209" s="31" t="s">
        <v>145</v>
      </c>
    </row>
    <row r="210" spans="1:8" ht="21" x14ac:dyDescent="0.35">
      <c r="A210" s="81"/>
      <c r="B210" s="29" t="s">
        <v>90</v>
      </c>
      <c r="C210" s="29"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1"/>
      <c r="B211" s="29" t="s">
        <v>90</v>
      </c>
      <c r="C211" s="29" t="s">
        <v>93</v>
      </c>
      <c r="E211" t="s">
        <v>58</v>
      </c>
      <c r="F211" t="str">
        <f t="shared" ref="F211:F221" si="0">IF(NOT(ISBLANK(D211)),D211,IF(NOT(ISBLANK(E211)),"     "&amp;E211,FALSE))</f>
        <v xml:space="preserve">     Afectación menor a 10 SMLMV .</v>
      </c>
    </row>
    <row r="212" spans="1:8" ht="21" x14ac:dyDescent="0.35">
      <c r="A212" s="81"/>
      <c r="B212" s="29" t="s">
        <v>90</v>
      </c>
      <c r="C212" s="29" t="s">
        <v>94</v>
      </c>
      <c r="E212" t="s">
        <v>93</v>
      </c>
      <c r="F212" t="str">
        <f t="shared" si="0"/>
        <v xml:space="preserve">     Entre 10 y 50 SMLMV </v>
      </c>
    </row>
    <row r="213" spans="1:8" ht="21" x14ac:dyDescent="0.35">
      <c r="A213" s="81"/>
      <c r="B213" s="29" t="s">
        <v>90</v>
      </c>
      <c r="C213" s="29" t="s">
        <v>95</v>
      </c>
      <c r="E213" t="s">
        <v>94</v>
      </c>
      <c r="F213" t="str">
        <f t="shared" si="0"/>
        <v xml:space="preserve">     Entre 50 y 100 SMLMV </v>
      </c>
    </row>
    <row r="214" spans="1:8" ht="21" x14ac:dyDescent="0.35">
      <c r="A214" s="81"/>
      <c r="B214" s="29" t="s">
        <v>90</v>
      </c>
      <c r="C214" s="29" t="s">
        <v>96</v>
      </c>
      <c r="E214" t="s">
        <v>95</v>
      </c>
      <c r="F214" t="str">
        <f t="shared" si="0"/>
        <v xml:space="preserve">     Entre 100 y 500 SMLMV </v>
      </c>
    </row>
    <row r="215" spans="1:8" ht="21" x14ac:dyDescent="0.35">
      <c r="A215" s="81"/>
      <c r="B215" s="29" t="s">
        <v>57</v>
      </c>
      <c r="C215" s="29" t="s">
        <v>97</v>
      </c>
      <c r="E215" t="s">
        <v>96</v>
      </c>
      <c r="F215" t="str">
        <f t="shared" si="0"/>
        <v xml:space="preserve">     Mayor a 500 SMLMV </v>
      </c>
    </row>
    <row r="216" spans="1:8" ht="21" x14ac:dyDescent="0.35">
      <c r="A216" s="81"/>
      <c r="B216" s="29" t="s">
        <v>57</v>
      </c>
      <c r="C216" s="29" t="s">
        <v>98</v>
      </c>
      <c r="D216" t="s">
        <v>57</v>
      </c>
      <c r="F216" t="str">
        <f t="shared" si="0"/>
        <v>Pérdida Reputacional</v>
      </c>
    </row>
    <row r="217" spans="1:8" ht="21" x14ac:dyDescent="0.35">
      <c r="A217" s="81"/>
      <c r="B217" s="29" t="s">
        <v>57</v>
      </c>
      <c r="C217" s="29" t="s">
        <v>100</v>
      </c>
      <c r="E217" t="s">
        <v>97</v>
      </c>
      <c r="F217" t="str">
        <f t="shared" si="0"/>
        <v xml:space="preserve">     El riesgo afecta la imagen de alguna área de la organización</v>
      </c>
    </row>
    <row r="218" spans="1:8" ht="21" x14ac:dyDescent="0.35">
      <c r="A218" s="81"/>
      <c r="B218" s="29" t="s">
        <v>57</v>
      </c>
      <c r="C218" s="29" t="s">
        <v>99</v>
      </c>
      <c r="E218" t="s">
        <v>98</v>
      </c>
      <c r="F218" t="str">
        <f t="shared" si="0"/>
        <v xml:space="preserve">     El riesgo afecta la imagen de la entidad internamente, de conocimiento general, nivel interno, de junta dircetiva y accionistas y/o de provedores</v>
      </c>
    </row>
    <row r="219" spans="1:8" ht="21" x14ac:dyDescent="0.35">
      <c r="A219" s="81"/>
      <c r="B219" s="29" t="s">
        <v>57</v>
      </c>
      <c r="C219" s="29" t="s">
        <v>118</v>
      </c>
      <c r="E219" t="s">
        <v>100</v>
      </c>
      <c r="F219" t="str">
        <f t="shared" si="0"/>
        <v xml:space="preserve">     El riesgo afecta la imagen de la entidad con algunos usuarios de relevancia frente al logro de los objetivos</v>
      </c>
    </row>
    <row r="220" spans="1:8" x14ac:dyDescent="0.25">
      <c r="A220" s="81"/>
      <c r="B220" s="30"/>
      <c r="C220" s="30"/>
      <c r="E220" t="s">
        <v>223</v>
      </c>
      <c r="F220" t="str">
        <f t="shared" si="0"/>
        <v xml:space="preserve">     El riesgo afecta la imagen de la entidad con efecto publicitario sostenido a nivel de sector administrativo, nivel departamental o municipal</v>
      </c>
    </row>
    <row r="221" spans="1:8" x14ac:dyDescent="0.25">
      <c r="A221" s="81"/>
      <c r="B221" s="30" t="str" cm="1">
        <f t="array" ref="B221:B223">_xlfn.UNIQUE(Tabla1[[#All],[Criterios]])</f>
        <v>Criterios</v>
      </c>
      <c r="C221" s="30"/>
      <c r="E221" t="s">
        <v>118</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147</v>
      </c>
    </row>
    <row r="224" spans="1:8" x14ac:dyDescent="0.25">
      <c r="B224" s="21"/>
      <c r="C224" s="21"/>
      <c r="F224" s="33" t="s">
        <v>148</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8" workbookViewId="0">
      <selection activeCell="E6" sqref="E6"/>
    </sheetView>
  </sheetViews>
  <sheetFormatPr baseColWidth="10" defaultColWidth="14.28515625" defaultRowHeight="12.75" x14ac:dyDescent="0.2"/>
  <cols>
    <col min="1" max="2" width="14.28515625" style="86"/>
    <col min="3" max="3" width="17" style="86" customWidth="1"/>
    <col min="4" max="4" width="14.28515625" style="86"/>
    <col min="5" max="5" width="46" style="86" customWidth="1"/>
    <col min="6" max="16384" width="14.28515625" style="86"/>
  </cols>
  <sheetData>
    <row r="1" spans="2:6" ht="24" customHeight="1" thickBot="1" x14ac:dyDescent="0.25">
      <c r="B1" s="378" t="s">
        <v>78</v>
      </c>
      <c r="C1" s="379"/>
      <c r="D1" s="379"/>
      <c r="E1" s="379"/>
      <c r="F1" s="380"/>
    </row>
    <row r="2" spans="2:6" ht="16.5" thickBot="1" x14ac:dyDescent="0.3">
      <c r="B2" s="87"/>
      <c r="C2" s="87"/>
      <c r="D2" s="87"/>
      <c r="E2" s="87"/>
      <c r="F2" s="87"/>
    </row>
    <row r="3" spans="2:6" ht="16.5" thickBot="1" x14ac:dyDescent="0.25">
      <c r="B3" s="382" t="s">
        <v>64</v>
      </c>
      <c r="C3" s="383"/>
      <c r="D3" s="383"/>
      <c r="E3" s="99" t="s">
        <v>65</v>
      </c>
      <c r="F3" s="100" t="s">
        <v>66</v>
      </c>
    </row>
    <row r="4" spans="2:6" ht="31.5" x14ac:dyDescent="0.2">
      <c r="B4" s="384" t="s">
        <v>67</v>
      </c>
      <c r="C4" s="386" t="s">
        <v>13</v>
      </c>
      <c r="D4" s="88" t="s">
        <v>14</v>
      </c>
      <c r="E4" s="89" t="s">
        <v>68</v>
      </c>
      <c r="F4" s="90">
        <v>0.25</v>
      </c>
    </row>
    <row r="5" spans="2:6" ht="47.25" x14ac:dyDescent="0.2">
      <c r="B5" s="385"/>
      <c r="C5" s="387"/>
      <c r="D5" s="91" t="s">
        <v>15</v>
      </c>
      <c r="E5" s="92" t="s">
        <v>69</v>
      </c>
      <c r="F5" s="93">
        <v>0.15</v>
      </c>
    </row>
    <row r="6" spans="2:6" ht="47.25" x14ac:dyDescent="0.2">
      <c r="B6" s="385"/>
      <c r="C6" s="387"/>
      <c r="D6" s="91" t="s">
        <v>16</v>
      </c>
      <c r="E6" s="92" t="s">
        <v>70</v>
      </c>
      <c r="F6" s="93">
        <v>0.1</v>
      </c>
    </row>
    <row r="7" spans="2:6" ht="63" x14ac:dyDescent="0.2">
      <c r="B7" s="385"/>
      <c r="C7" s="387" t="s">
        <v>17</v>
      </c>
      <c r="D7" s="91" t="s">
        <v>10</v>
      </c>
      <c r="E7" s="92" t="s">
        <v>71</v>
      </c>
      <c r="F7" s="93">
        <v>0.25</v>
      </c>
    </row>
    <row r="8" spans="2:6" ht="31.5" x14ac:dyDescent="0.2">
      <c r="B8" s="385"/>
      <c r="C8" s="387"/>
      <c r="D8" s="91" t="s">
        <v>9</v>
      </c>
      <c r="E8" s="92" t="s">
        <v>72</v>
      </c>
      <c r="F8" s="93">
        <v>0.15</v>
      </c>
    </row>
    <row r="9" spans="2:6" ht="47.25" x14ac:dyDescent="0.2">
      <c r="B9" s="385" t="s">
        <v>162</v>
      </c>
      <c r="C9" s="387" t="s">
        <v>18</v>
      </c>
      <c r="D9" s="91" t="s">
        <v>19</v>
      </c>
      <c r="E9" s="92" t="s">
        <v>73</v>
      </c>
      <c r="F9" s="94" t="s">
        <v>74</v>
      </c>
    </row>
    <row r="10" spans="2:6" ht="63" x14ac:dyDescent="0.2">
      <c r="B10" s="385"/>
      <c r="C10" s="387"/>
      <c r="D10" s="91" t="s">
        <v>20</v>
      </c>
      <c r="E10" s="92" t="s">
        <v>75</v>
      </c>
      <c r="F10" s="94" t="s">
        <v>74</v>
      </c>
    </row>
    <row r="11" spans="2:6" ht="47.25" x14ac:dyDescent="0.2">
      <c r="B11" s="385"/>
      <c r="C11" s="387" t="s">
        <v>21</v>
      </c>
      <c r="D11" s="91" t="s">
        <v>22</v>
      </c>
      <c r="E11" s="92" t="s">
        <v>76</v>
      </c>
      <c r="F11" s="94" t="s">
        <v>74</v>
      </c>
    </row>
    <row r="12" spans="2:6" ht="47.25" x14ac:dyDescent="0.2">
      <c r="B12" s="385"/>
      <c r="C12" s="387"/>
      <c r="D12" s="91" t="s">
        <v>23</v>
      </c>
      <c r="E12" s="92" t="s">
        <v>77</v>
      </c>
      <c r="F12" s="94" t="s">
        <v>74</v>
      </c>
    </row>
    <row r="13" spans="2:6" ht="31.5" x14ac:dyDescent="0.2">
      <c r="B13" s="385"/>
      <c r="C13" s="387" t="s">
        <v>24</v>
      </c>
      <c r="D13" s="91" t="s">
        <v>119</v>
      </c>
      <c r="E13" s="92" t="s">
        <v>122</v>
      </c>
      <c r="F13" s="94" t="s">
        <v>74</v>
      </c>
    </row>
    <row r="14" spans="2:6" ht="32.25" thickBot="1" x14ac:dyDescent="0.25">
      <c r="B14" s="388"/>
      <c r="C14" s="389"/>
      <c r="D14" s="95" t="s">
        <v>120</v>
      </c>
      <c r="E14" s="96" t="s">
        <v>121</v>
      </c>
      <c r="F14" s="97" t="s">
        <v>74</v>
      </c>
    </row>
    <row r="15" spans="2:6" ht="49.5" customHeight="1" x14ac:dyDescent="0.2">
      <c r="B15" s="381" t="s">
        <v>159</v>
      </c>
      <c r="C15" s="381"/>
      <c r="D15" s="381"/>
      <c r="E15" s="381"/>
      <c r="F15" s="381"/>
    </row>
    <row r="16" spans="2:6" ht="27" customHeight="1" x14ac:dyDescent="0.25">
      <c r="B16" s="9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D25" sqref="D25"/>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topLeftCell="A4" workbookViewId="0">
      <selection activeCell="A13" sqref="A13"/>
    </sheetView>
  </sheetViews>
  <sheetFormatPr baseColWidth="10"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Mónica Potes Viveros</cp:lastModifiedBy>
  <cp:lastPrinted>2020-05-13T01:12:22Z</cp:lastPrinted>
  <dcterms:created xsi:type="dcterms:W3CDTF">2020-03-24T23:12:47Z</dcterms:created>
  <dcterms:modified xsi:type="dcterms:W3CDTF">2024-01-16T20:13:47Z</dcterms:modified>
</cp:coreProperties>
</file>