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ranimoreno/Documents/ BENEFICENCIA DEL VALLE 2020/COVID-19/ADMINISTRATIVOS BENEVALLE/CONVOCATORIA OBRA/FINAL MODERNIZACION-OBRA/"/>
    </mc:Choice>
  </mc:AlternateContent>
  <xr:revisionPtr revIDLastSave="0" documentId="13_ncr:1_{9E98F8A2-0F1C-9342-A4D2-1EB61D66F321}" xr6:coauthVersionLast="47" xr6:coauthVersionMax="47" xr10:uidLastSave="{00000000-0000-0000-0000-000000000000}"/>
  <bookViews>
    <workbookView xWindow="0" yWindow="500" windowWidth="28800" windowHeight="16260" tabRatio="599" activeTab="4" xr2:uid="{00000000-000D-0000-FFFF-FFFF00000000}"/>
  </bookViews>
  <sheets>
    <sheet name="RESUMÉN" sheetId="7" state="hidden" r:id="rId1"/>
    <sheet name="COT 1" sheetId="2" state="hidden" r:id="rId2"/>
    <sheet name="COT 2" sheetId="3" state="hidden" r:id="rId3"/>
    <sheet name="COT 3" sheetId="4" state="hidden" r:id="rId4"/>
    <sheet name="CRONOGRAMA " sheetId="8" r:id="rId5"/>
  </sheets>
  <definedNames>
    <definedName name="_xlnm.Print_Area" localSheetId="1">'COT 1'!$B$1:$G$30</definedName>
    <definedName name="_xlnm.Print_Area" localSheetId="2">'COT 2'!$B$1:$G$30</definedName>
    <definedName name="_xlnm.Print_Area" localSheetId="3">'COT 3'!$B$1:$G$31</definedName>
    <definedName name="_xlnm.Print_Area" localSheetId="4">'CRONOGRAMA '!$B$1:$CI$170</definedName>
    <definedName name="_xlnm.Print_Titles" localSheetId="4">'CRONOGRAMA '!$1:$3</definedName>
    <definedName name="_xlnm.Print_Titles" localSheetId="0">RESUMÉN!#REF!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7" l="1"/>
  <c r="G221" i="7"/>
  <c r="G222" i="7" s="1"/>
  <c r="F218" i="7"/>
  <c r="E218" i="7"/>
  <c r="F217" i="7"/>
  <c r="E217" i="7"/>
  <c r="E215" i="7"/>
  <c r="F215" i="7" s="1"/>
  <c r="E214" i="7"/>
  <c r="F214" i="7" s="1"/>
  <c r="E213" i="7"/>
  <c r="F213" i="7" s="1"/>
  <c r="E212" i="7"/>
  <c r="F212" i="7" s="1"/>
  <c r="F211" i="7"/>
  <c r="E211" i="7"/>
  <c r="F210" i="7"/>
  <c r="E210" i="7"/>
  <c r="E208" i="7"/>
  <c r="F208" i="7" s="1"/>
  <c r="E207" i="7"/>
  <c r="F207" i="7" s="1"/>
  <c r="E206" i="7"/>
  <c r="F206" i="7" s="1"/>
  <c r="E205" i="7"/>
  <c r="F205" i="7" s="1"/>
  <c r="F204" i="7"/>
  <c r="E204" i="7"/>
  <c r="F203" i="7"/>
  <c r="E203" i="7"/>
  <c r="E201" i="7"/>
  <c r="D201" i="7"/>
  <c r="F201" i="7" s="1"/>
  <c r="E200" i="7"/>
  <c r="F200" i="7" s="1"/>
  <c r="E199" i="7"/>
  <c r="D199" i="7"/>
  <c r="F199" i="7" s="1"/>
  <c r="E198" i="7"/>
  <c r="D198" i="7"/>
  <c r="F198" i="7" s="1"/>
  <c r="F197" i="7"/>
  <c r="E197" i="7"/>
  <c r="E195" i="7"/>
  <c r="F195" i="7" s="1"/>
  <c r="E193" i="7"/>
  <c r="F193" i="7" s="1"/>
  <c r="E192" i="7"/>
  <c r="F192" i="7" s="1"/>
  <c r="E190" i="7"/>
  <c r="F190" i="7" s="1"/>
  <c r="E189" i="7"/>
  <c r="F189" i="7" s="1"/>
  <c r="F188" i="7"/>
  <c r="E188" i="7"/>
  <c r="E187" i="7"/>
  <c r="F187" i="7" s="1"/>
  <c r="F185" i="7"/>
  <c r="E185" i="7"/>
  <c r="E184" i="7"/>
  <c r="F184" i="7" s="1"/>
  <c r="E183" i="7"/>
  <c r="F183" i="7" s="1"/>
  <c r="E182" i="7"/>
  <c r="F182" i="7" s="1"/>
  <c r="E181" i="7"/>
  <c r="F181" i="7" s="1"/>
  <c r="E180" i="7"/>
  <c r="F180" i="7" s="1"/>
  <c r="F179" i="7"/>
  <c r="E179" i="7"/>
  <c r="E178" i="7"/>
  <c r="F178" i="7" s="1"/>
  <c r="F177" i="7"/>
  <c r="E177" i="7"/>
  <c r="E176" i="7"/>
  <c r="F176" i="7" s="1"/>
  <c r="E174" i="7"/>
  <c r="F174" i="7" s="1"/>
  <c r="E173" i="7"/>
  <c r="F173" i="7" s="1"/>
  <c r="E171" i="7"/>
  <c r="F171" i="7" s="1"/>
  <c r="E170" i="7"/>
  <c r="F170" i="7" s="1"/>
  <c r="F168" i="7"/>
  <c r="E168" i="7"/>
  <c r="E166" i="7"/>
  <c r="F166" i="7" s="1"/>
  <c r="F165" i="7"/>
  <c r="E165" i="7"/>
  <c r="E164" i="7"/>
  <c r="F164" i="7" s="1"/>
  <c r="E163" i="7"/>
  <c r="F163" i="7" s="1"/>
  <c r="E162" i="7"/>
  <c r="F162" i="7" s="1"/>
  <c r="E161" i="7"/>
  <c r="F161" i="7" s="1"/>
  <c r="E160" i="7"/>
  <c r="F160" i="7" s="1"/>
  <c r="F159" i="7"/>
  <c r="E159" i="7"/>
  <c r="E158" i="7"/>
  <c r="F158" i="7" s="1"/>
  <c r="F157" i="7"/>
  <c r="E157" i="7"/>
  <c r="E156" i="7"/>
  <c r="F156" i="7" s="1"/>
  <c r="E154" i="7"/>
  <c r="F154" i="7" s="1"/>
  <c r="E153" i="7"/>
  <c r="F153" i="7" s="1"/>
  <c r="E151" i="7"/>
  <c r="F151" i="7" s="1"/>
  <c r="E150" i="7"/>
  <c r="F150" i="7" s="1"/>
  <c r="F149" i="7"/>
  <c r="E149" i="7"/>
  <c r="E148" i="7"/>
  <c r="F148" i="7" s="1"/>
  <c r="F147" i="7"/>
  <c r="E147" i="7"/>
  <c r="E146" i="7"/>
  <c r="F146" i="7" s="1"/>
  <c r="E145" i="7"/>
  <c r="F145" i="7" s="1"/>
  <c r="E144" i="7"/>
  <c r="F144" i="7" s="1"/>
  <c r="E143" i="7"/>
  <c r="F143" i="7" s="1"/>
  <c r="E142" i="7"/>
  <c r="F142" i="7" s="1"/>
  <c r="F141" i="7"/>
  <c r="E141" i="7"/>
  <c r="E140" i="7"/>
  <c r="F140" i="7" s="1"/>
  <c r="F139" i="7"/>
  <c r="E139" i="7"/>
  <c r="F132" i="7"/>
  <c r="F131" i="7"/>
  <c r="F128" i="7"/>
  <c r="F127" i="7"/>
  <c r="F122" i="7"/>
  <c r="F121" i="7"/>
  <c r="F120" i="7"/>
  <c r="F119" i="7"/>
  <c r="D118" i="7"/>
  <c r="F114" i="7"/>
  <c r="F113" i="7"/>
  <c r="F112" i="7"/>
  <c r="F111" i="7"/>
  <c r="F110" i="7"/>
  <c r="D108" i="7"/>
  <c r="D107" i="7"/>
  <c r="F84" i="7"/>
  <c r="F83" i="7"/>
  <c r="F82" i="7"/>
  <c r="D80" i="7"/>
  <c r="D81" i="7" s="1"/>
  <c r="D79" i="7"/>
  <c r="F79" i="7" s="1"/>
  <c r="E77" i="7"/>
  <c r="F77" i="7" s="1"/>
  <c r="F76" i="7"/>
  <c r="F60" i="7"/>
  <c r="F59" i="7"/>
  <c r="F58" i="7"/>
  <c r="D57" i="7"/>
  <c r="F57" i="7" s="1"/>
  <c r="F56" i="7"/>
  <c r="E47" i="7"/>
  <c r="F47" i="7" s="1"/>
  <c r="F46" i="7" s="1"/>
  <c r="D32" i="7"/>
  <c r="D37" i="7" s="1"/>
  <c r="F29" i="7"/>
  <c r="F28" i="7"/>
  <c r="F26" i="7"/>
  <c r="F25" i="7"/>
  <c r="F24" i="7"/>
  <c r="E19" i="7"/>
  <c r="D19" i="7"/>
  <c r="E18" i="7"/>
  <c r="D18" i="7"/>
  <c r="F18" i="7" s="1"/>
  <c r="E17" i="7"/>
  <c r="D17" i="7"/>
  <c r="F17" i="7" s="1"/>
  <c r="E16" i="7"/>
  <c r="D16" i="7"/>
  <c r="F16" i="7" s="1"/>
  <c r="E14" i="7"/>
  <c r="E13" i="7"/>
  <c r="F13" i="7" s="1"/>
  <c r="E12" i="7"/>
  <c r="F12" i="7" s="1"/>
  <c r="E11" i="7"/>
  <c r="E7" i="7"/>
  <c r="F7" i="7" s="1"/>
  <c r="E6" i="7"/>
  <c r="D6" i="7"/>
  <c r="D36" i="7" s="1"/>
  <c r="D38" i="7" l="1"/>
  <c r="F19" i="7"/>
  <c r="F130" i="7"/>
  <c r="F55" i="7"/>
  <c r="F137" i="7"/>
  <c r="M4" i="7" s="1"/>
  <c r="D39" i="7"/>
  <c r="E222" i="7"/>
  <c r="F222" i="7" s="1"/>
  <c r="E235" i="7"/>
  <c r="F235" i="7" s="1"/>
  <c r="E233" i="7"/>
  <c r="F233" i="7" s="1"/>
  <c r="E231" i="7"/>
  <c r="F231" i="7" s="1"/>
  <c r="E229" i="7"/>
  <c r="F229" i="7" s="1"/>
  <c r="E227" i="7"/>
  <c r="F227" i="7" s="1"/>
  <c r="E225" i="7"/>
  <c r="F225" i="7" s="1"/>
  <c r="E223" i="7"/>
  <c r="F223" i="7" s="1"/>
  <c r="E232" i="7"/>
  <c r="F232" i="7" s="1"/>
  <c r="E228" i="7"/>
  <c r="F228" i="7" s="1"/>
  <c r="E224" i="7"/>
  <c r="F224" i="7" s="1"/>
  <c r="E221" i="7"/>
  <c r="F221" i="7" s="1"/>
  <c r="E234" i="7"/>
  <c r="F234" i="7" s="1"/>
  <c r="E230" i="7"/>
  <c r="F230" i="7" s="1"/>
  <c r="E226" i="7"/>
  <c r="F226" i="7" s="1"/>
  <c r="D10" i="7"/>
  <c r="F6" i="7"/>
  <c r="F5" i="7" s="1"/>
  <c r="F220" i="7" l="1"/>
  <c r="M6" i="7" s="1"/>
  <c r="D11" i="7"/>
  <c r="F11" i="7" s="1"/>
  <c r="D14" i="7"/>
  <c r="D15" i="7" l="1"/>
  <c r="F14" i="7"/>
  <c r="E27" i="7" l="1"/>
  <c r="F27" i="7" s="1"/>
  <c r="F23" i="7" s="1"/>
  <c r="E109" i="7" l="1"/>
  <c r="F109" i="7" s="1"/>
  <c r="E118" i="7" l="1"/>
  <c r="F118" i="7" s="1"/>
  <c r="E108" i="7"/>
  <c r="F108" i="7" s="1"/>
  <c r="E107" i="7" l="1"/>
  <c r="F107" i="7" s="1"/>
  <c r="F106" i="7" s="1"/>
  <c r="E117" i="7"/>
  <c r="F117" i="7" s="1"/>
  <c r="F116" i="7" s="1"/>
  <c r="E81" i="7" l="1"/>
  <c r="F81" i="7" s="1"/>
  <c r="E135" i="7"/>
  <c r="F135" i="7" s="1"/>
  <c r="F134" i="7" s="1"/>
  <c r="E38" i="7" l="1"/>
  <c r="E10" i="7"/>
  <c r="F10" i="7" s="1"/>
  <c r="E37" i="7"/>
  <c r="F37" i="7" s="1"/>
  <c r="E80" i="7"/>
  <c r="F80" i="7" s="1"/>
  <c r="E36" i="7" l="1"/>
  <c r="F36" i="7" s="1"/>
  <c r="E78" i="7"/>
  <c r="F78" i="7" s="1"/>
  <c r="F75" i="7" s="1"/>
  <c r="M5" i="7" s="1"/>
  <c r="E39" i="7"/>
  <c r="F39" i="7" s="1"/>
  <c r="F38" i="7"/>
  <c r="F35" i="7" l="1"/>
  <c r="E32" i="7" l="1"/>
  <c r="F32" i="7" s="1"/>
  <c r="F31" i="7" s="1"/>
  <c r="E15" i="7" l="1"/>
  <c r="F15" i="7" s="1"/>
  <c r="F9" i="7" s="1"/>
  <c r="I8" i="4"/>
  <c r="I10" i="4"/>
  <c r="I11" i="4"/>
  <c r="I12" i="4"/>
  <c r="I13" i="4"/>
  <c r="I14" i="4"/>
  <c r="I16" i="4"/>
  <c r="I17" i="4"/>
  <c r="I18" i="4"/>
  <c r="I19" i="4"/>
  <c r="I20" i="4"/>
  <c r="I21" i="4"/>
  <c r="I7" i="4"/>
  <c r="H7" i="3"/>
  <c r="H9" i="3"/>
  <c r="H10" i="3"/>
  <c r="H11" i="3"/>
  <c r="H12" i="3"/>
  <c r="H13" i="3"/>
  <c r="H15" i="3"/>
  <c r="H16" i="3"/>
  <c r="H17" i="3"/>
  <c r="H18" i="3"/>
  <c r="H19" i="3"/>
  <c r="H20" i="3"/>
  <c r="H6" i="3"/>
  <c r="G18" i="3"/>
  <c r="G19" i="3"/>
  <c r="G20" i="3"/>
  <c r="G7" i="2"/>
  <c r="G8" i="2"/>
  <c r="I29" i="4"/>
  <c r="F29" i="4"/>
  <c r="G21" i="4"/>
  <c r="G20" i="4"/>
  <c r="G19" i="4"/>
  <c r="G18" i="4"/>
  <c r="G17" i="4"/>
  <c r="G14" i="4"/>
  <c r="G13" i="4"/>
  <c r="G12" i="4"/>
  <c r="G11" i="4"/>
  <c r="G10" i="4"/>
  <c r="G8" i="4"/>
  <c r="G7" i="4"/>
  <c r="G17" i="3"/>
  <c r="G16" i="3"/>
  <c r="G15" i="3"/>
  <c r="G13" i="3"/>
  <c r="G12" i="3"/>
  <c r="G11" i="3"/>
  <c r="G10" i="3"/>
  <c r="G9" i="3"/>
  <c r="G7" i="3"/>
  <c r="G6" i="3"/>
  <c r="F28" i="2"/>
  <c r="G21" i="2"/>
  <c r="G20" i="2"/>
  <c r="G19" i="2"/>
  <c r="G18" i="2"/>
  <c r="G17" i="2"/>
  <c r="G16" i="2"/>
  <c r="G14" i="2"/>
  <c r="G13" i="2"/>
  <c r="G12" i="2"/>
  <c r="G11" i="2"/>
  <c r="G10" i="2"/>
  <c r="F239" i="7" l="1"/>
  <c r="F242" i="7" s="1"/>
  <c r="M3" i="7"/>
  <c r="M7" i="7" s="1"/>
  <c r="M8" i="7" s="1"/>
  <c r="G21" i="3"/>
  <c r="G16" i="4"/>
  <c r="G22" i="4"/>
  <c r="G22" i="2"/>
  <c r="F243" i="7" l="1"/>
  <c r="F245" i="7"/>
  <c r="F248" i="7" s="1"/>
  <c r="F244" i="7"/>
  <c r="G23" i="2"/>
  <c r="G24" i="4"/>
  <c r="F247" i="7" l="1"/>
  <c r="F249" i="7" s="1"/>
  <c r="G23" i="3"/>
  <c r="G25" i="3" s="1"/>
  <c r="G28" i="4"/>
  <c r="G27" i="4"/>
  <c r="G26" i="4"/>
  <c r="G25" i="2"/>
  <c r="G27" i="2"/>
  <c r="G26" i="2"/>
  <c r="G28" i="3" l="1"/>
  <c r="G29" i="3" s="1"/>
  <c r="G27" i="3"/>
  <c r="G26" i="3"/>
  <c r="G28" i="2"/>
  <c r="G29" i="2" s="1"/>
  <c r="G29" i="4"/>
  <c r="G3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MARIELA_IZQ</author>
  </authors>
  <commentList>
    <comment ref="B5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MARIELA_IZQ:</t>
        </r>
        <r>
          <rPr>
            <sz val="9"/>
            <color indexed="81"/>
            <rFont val="Tahoma"/>
            <family val="2"/>
          </rPr>
          <t xml:space="preserve">
REALIZAR MANTENIMIENTO A LOS EXISTENTES </t>
        </r>
      </text>
    </comment>
  </commentList>
</comments>
</file>

<file path=xl/sharedStrings.xml><?xml version="1.0" encoding="utf-8"?>
<sst xmlns="http://schemas.openxmlformats.org/spreadsheetml/2006/main" count="1001" uniqueCount="468">
  <si>
    <t>ITEM</t>
  </si>
  <si>
    <t>DESCRIPCION</t>
  </si>
  <si>
    <t>UND</t>
  </si>
  <si>
    <t>CANT.</t>
  </si>
  <si>
    <t xml:space="preserve">VR. UNIT. </t>
  </si>
  <si>
    <t>VR. TOT.</t>
  </si>
  <si>
    <t xml:space="preserve"> OBRAS PRELIMINARES </t>
  </si>
  <si>
    <t>1.01</t>
  </si>
  <si>
    <t>LOCALIZACION-REPLANTEO OBRA ARQUITECTON.</t>
  </si>
  <si>
    <t>M2</t>
  </si>
  <si>
    <t>1.02</t>
  </si>
  <si>
    <t>3.01</t>
  </si>
  <si>
    <t>3.02</t>
  </si>
  <si>
    <t>3.03</t>
  </si>
  <si>
    <t>ML</t>
  </si>
  <si>
    <t>DILATACION PLASTICA EN "Z"</t>
  </si>
  <si>
    <t xml:space="preserve">AFINADO DE PISO </t>
  </si>
  <si>
    <t xml:space="preserve">PISOS   </t>
  </si>
  <si>
    <t xml:space="preserve">DEMOLICION DE GUARDAESCOBA </t>
  </si>
  <si>
    <t xml:space="preserve">CERRAMIENTO </t>
  </si>
  <si>
    <t>DEMOLICIÓN Y RETIRO DE  MORTERO DE NIVELACIÓN EXISTENTE</t>
  </si>
  <si>
    <t>DEMOLICION DE MUROS LIVIANOS</t>
  </si>
  <si>
    <t>RETIRO DE ESCOMBROS</t>
  </si>
  <si>
    <t xml:space="preserve">GUARDAESCOBA </t>
  </si>
  <si>
    <t>DEMOLICIONES Y ESCOMBROS</t>
  </si>
  <si>
    <t>M3</t>
  </si>
  <si>
    <t>RETIRO DE VINILO EXISTENTE</t>
  </si>
  <si>
    <t>2.01</t>
  </si>
  <si>
    <t>2.02</t>
  </si>
  <si>
    <t>2.03</t>
  </si>
  <si>
    <t>2.04</t>
  </si>
  <si>
    <t>2.05</t>
  </si>
  <si>
    <t>3.04</t>
  </si>
  <si>
    <t>FRAGUADO PISO CERAMICO</t>
  </si>
  <si>
    <t>3.05</t>
  </si>
  <si>
    <t>PISO CERAMICA PORCELANATO</t>
  </si>
  <si>
    <t>MORTERO NIVELACION</t>
  </si>
  <si>
    <t>DJ COLOMBIA INGENIERÍA S.A.S.
			NIT. 901247346-2</t>
  </si>
  <si>
    <t xml:space="preserve">COTIZACION:     </t>
  </si>
  <si>
    <t>GOB 2021</t>
  </si>
  <si>
    <t>ÍTEM</t>
  </si>
  <si>
    <t>DESCRIPCIÓN</t>
  </si>
  <si>
    <t>UND.</t>
  </si>
  <si>
    <t>VLR. UNIT.</t>
  </si>
  <si>
    <t>VLR. TOTAL</t>
  </si>
  <si>
    <t>TOTAL CAPÍTULO</t>
  </si>
  <si>
    <t>TOTAL COSTOS DIRECTOS</t>
  </si>
  <si>
    <t>ADMINISTRACION</t>
  </si>
  <si>
    <t>UTILIDAD</t>
  </si>
  <si>
    <t>IMPREVISTOS</t>
  </si>
  <si>
    <t>A.U.I.</t>
  </si>
  <si>
    <t>TOTAL PRESUPUESTO</t>
  </si>
  <si>
    <t>COTIZACION</t>
  </si>
  <si>
    <t>OBJETO:</t>
  </si>
  <si>
    <t>Señores: 
Beneficencia del Valle, me premito presentar cotizacion para realizar</t>
  </si>
  <si>
    <t>OBRAS DE MANTENIMIENTO Y ADECUACION DE LA INFRAESTRUCTURA DE LOS  PISOS 9 10 Y 11 DEL EDIFICIO DE LA BENEFICENCIA DEL VALLE</t>
  </si>
  <si>
    <t>1.0</t>
  </si>
  <si>
    <t>3.06</t>
  </si>
  <si>
    <t>PICADA ABUZARDADA DE MUROS</t>
  </si>
  <si>
    <t>REVESTIMIENTOS</t>
  </si>
  <si>
    <t>REPELLO MURO 1:2</t>
  </si>
  <si>
    <t>ESTUCOS  RELLENOS Y PINTURA</t>
  </si>
  <si>
    <t>ESTUCO CIELOS PLASTICO</t>
  </si>
  <si>
    <t>ESTUCO MUROS PLASTICO</t>
  </si>
  <si>
    <t>ESTUCO SOBRE RESANE</t>
  </si>
  <si>
    <t>ESTUCO MURO</t>
  </si>
  <si>
    <t>DILATACIONES</t>
  </si>
  <si>
    <t>FILOS</t>
  </si>
  <si>
    <t>RELLENO PLASTICO SOBRE MUROS</t>
  </si>
  <si>
    <t>MUROS LIVIANOS</t>
  </si>
  <si>
    <t>ESTRUCT.DINTEL BOARD[OMEGA-ANG]92MM C20</t>
  </si>
  <si>
    <t>DINTEL BOARD 10MM A=26-50CM [3 CARAS]</t>
  </si>
  <si>
    <t>CORDON CONCRETO SOPORTE MURO SUPERBOARD</t>
  </si>
  <si>
    <t>BUITRONES EN SUPERBOARD 1 CARA</t>
  </si>
  <si>
    <t>JUNTA DE DILATACION ENTRE MUROS RIGIDOS Y DIVISIONES EN ESTRUC. LIVIANAS</t>
  </si>
  <si>
    <t>CIELO FALSO JUNTA PERDIDA EN PLACA-BOARD 6MM</t>
  </si>
  <si>
    <t>NAVE ALUM.ENTAMBORADA-VIDRIO BAT.</t>
  </si>
  <si>
    <t>NAVE ALUM.ENTAMBORADA-VIDRIO COR.</t>
  </si>
  <si>
    <t xml:space="preserve">INSTALACION DE GABETAS Y REPISAS METALICAS PARA PACIENTES </t>
  </si>
  <si>
    <t>SUMINISTRO E INSTALACION DE BRAZOS PARA VENTANERIA PROYECTANTE</t>
  </si>
  <si>
    <t>SUMINISTRO E INSTALACION DE LOCKERS DEL PERSONAL</t>
  </si>
  <si>
    <t>SUMINISTRO E INSTALACION DE MANIJA PARA VENTANERIA PROYECTANTE</t>
  </si>
  <si>
    <t>MUEBLE EN BOARD SALIDA GASES MEDICINALES 120X30X6 CM</t>
  </si>
  <si>
    <t>SUMINISTRO E INSTALACION DE BISAGRA VAIVEN DE PISO</t>
  </si>
  <si>
    <t>SUMINISTRO E INSTALACION DE GUARDACAMILLAS EN ACERO INOXIDABLE</t>
  </si>
  <si>
    <t>SUMINISTRO E INSTALACION DE MARCO PARA LUMINARIA</t>
  </si>
  <si>
    <t>MARCO DIV.ALUM. CORREDIZA R=4215</t>
  </si>
  <si>
    <t>DIV.ALUM.-ACRILICO 50% CORREDIZA R=4215</t>
  </si>
  <si>
    <t>PUERTA PLEGABLE</t>
  </si>
  <si>
    <t>SAL SWITCHE S1 (C/T/A:2#12/S1)</t>
  </si>
  <si>
    <t>INSTALACION TABLERO 2F</t>
  </si>
  <si>
    <t>INSTALACION BREAKER 2F</t>
  </si>
  <si>
    <t>REUBICACIÓN DE SALIDA ELÉCTRICA</t>
  </si>
  <si>
    <t>CABLE COBRE THWN# 12</t>
  </si>
  <si>
    <t>INSTALACION CABLE # 16 A #12</t>
  </si>
  <si>
    <t>BREAKER 1F DESDE 15 A 60</t>
  </si>
  <si>
    <t>UN.</t>
  </si>
  <si>
    <t>SAL TOMA 1F (C/T/A/TO:REGULADO P&amp;S)</t>
  </si>
  <si>
    <t>UN</t>
  </si>
  <si>
    <t>UPS 9000</t>
  </si>
  <si>
    <t>CONEXIÓN DE CIRCUITOS A TABLERO EXISTENTE</t>
  </si>
  <si>
    <t>CABLE COBRE THWN# 10</t>
  </si>
  <si>
    <t>INSTALACION CABLE # 10 A # 6</t>
  </si>
  <si>
    <t>SAL SWITCHE S2 (C/T/A:3#12/S2)</t>
  </si>
  <si>
    <t>SUMINISTRO E INSTALACION DE LOS MATERIALES REQUERIDOS PARA LAS SALIDAS  DE LOS ELEMENTOS SISTEMA DE LLAMADO A ENFERMERIA</t>
  </si>
  <si>
    <t xml:space="preserve">CAJA ESPECIAL PARA ESTACION DE ENFERMERIA COFRE DE LLAMADO </t>
  </si>
  <si>
    <t>CITOFONO INCLUYE SUMINISTRO, INSTALACION, CABLEADO ELECTRICO Y DE DATOS</t>
  </si>
  <si>
    <t>CONEXIÓN FLEXIBLE PARA TUBERIA ELECTRICA 1/2" LOCALIZADA EN JUNTA DE DILATACION ESTRUCTURAL</t>
  </si>
  <si>
    <t>CONEXIÓN FLEXIBLE PARA TUBERIA ELECTRICA 3/4" LOCALIZADA EN JUNTA DE DILATACION ESTRUCTURAL</t>
  </si>
  <si>
    <t>LAMP ELECTRONICA 2x32 LFS-CIELO FALSO</t>
  </si>
  <si>
    <t>DUCTO LAMINA GALVANIZADA CON ACCESORIOS, SOPORTES E INSTALACION CAL 24 (INCLUYE DISEÑO)</t>
  </si>
  <si>
    <t>AISLAMIENTO DUCTO WRAP</t>
  </si>
  <si>
    <t>REJILLA PARA AIRE ACONDICIONADO, DIFUSORES DE SUMINISTRO DE RETORNO, EXTRACCION, TOMA DE AIRE EXTERIOR</t>
  </si>
  <si>
    <t>LIMPIEZA Y VARIOS</t>
  </si>
  <si>
    <t>4.01</t>
  </si>
  <si>
    <t>4.02</t>
  </si>
  <si>
    <t>CARPINTERÍA METÁLICA Y MADERA Y VIDRIO</t>
  </si>
  <si>
    <t>PUERTA VIDRIO TEMPLADO</t>
  </si>
  <si>
    <t>ACOMETIDA ELECTRICA EQUIPO AIRE ACONDICIONADO</t>
  </si>
  <si>
    <t>RETIRO LAMPARAS</t>
  </si>
  <si>
    <t>DEMOL.PISO ENCHAPE-BALDOSA+MORTERO</t>
  </si>
  <si>
    <t>DEMOL.GUARDAESCOBA</t>
  </si>
  <si>
    <t>GLB</t>
  </si>
  <si>
    <t>TRACIEGOS MATERIAL DEMOLICIONES PETREOS-VARIOS HASTA 100M</t>
  </si>
  <si>
    <t>DESMONTE DE LUMINARIAS</t>
  </si>
  <si>
    <t>DESM.VENTANA EXISTENTE</t>
  </si>
  <si>
    <t xml:space="preserve">DESMONTE PUERTAS </t>
  </si>
  <si>
    <t>Ventana 1.2x1.2 Metros Aluminio Vidrio 4mm</t>
  </si>
  <si>
    <t>PANEL LED RECTANGULAR 20 - 30x 1 - 120 Cm 40w Luz Blanca</t>
  </si>
  <si>
    <t xml:space="preserve">DESMONTE MOBILIARIOS EXISTENTES </t>
  </si>
  <si>
    <t xml:space="preserve">ML </t>
  </si>
  <si>
    <t>VINILTEX O SIMILAR  [3M] SOBRE MUROS</t>
  </si>
  <si>
    <t>VINILTEX O SIMILAR CIELO [3M]</t>
  </si>
  <si>
    <t>CONEXIÓN CAJA DE PASO ELECTRICA</t>
  </si>
  <si>
    <t>LIMPIEZA PERMANENTE OBRA (CUADRILLA 2P)</t>
  </si>
  <si>
    <t>MES</t>
  </si>
  <si>
    <t xml:space="preserve">SUMINISTRO E INSTALACIÓN DE BANDEJA PORTACABLES </t>
  </si>
  <si>
    <t>CABLE UTP CAT 6A</t>
  </si>
  <si>
    <t xml:space="preserve">REDES Y COMUNICACIONES </t>
  </si>
  <si>
    <t>kit de conexión de red</t>
  </si>
  <si>
    <t>access point de instalacion en techo dual band administrable</t>
  </si>
  <si>
    <t>gabinete pequeño</t>
  </si>
  <si>
    <t>switch de red 24 puertos gigabit</t>
  </si>
  <si>
    <t>switch de red 16 puertos gigabit</t>
  </si>
  <si>
    <t>CONTROL DE ACCESOS</t>
  </si>
  <si>
    <t xml:space="preserve">KIT ELECTROIMAN </t>
  </si>
  <si>
    <t>central de control de acceso con huella, o tarjeta</t>
  </si>
  <si>
    <t>MTS</t>
  </si>
  <si>
    <t>instalacion de puntos de red</t>
  </si>
  <si>
    <t>instalacion de control de acceso</t>
  </si>
  <si>
    <t xml:space="preserve">ESTRUC.MURO BOARD [CANAL-PARAL] 89MM C20 + PINTURA </t>
  </si>
  <si>
    <t xml:space="preserve">TOTAL COSTOS DIRECTOS </t>
  </si>
  <si>
    <t xml:space="preserve">INSTALACIONES ELECTRICAS </t>
  </si>
  <si>
    <t>2.06</t>
  </si>
  <si>
    <t>2.07</t>
  </si>
  <si>
    <t>2.08</t>
  </si>
  <si>
    <t>2.09</t>
  </si>
  <si>
    <t>DEMOL.MESON CONCRETO</t>
  </si>
  <si>
    <t>Lavaplatos de submontar con poceta de 55 cm x 43 cm en acero inoxidable - SOCODA</t>
  </si>
  <si>
    <t>Mesón de cocina</t>
  </si>
  <si>
    <t>Suministro e instalación de muebles en RH para Cocina (Incluye mueble superior)</t>
  </si>
  <si>
    <t>RENOVACIÓN DUCTERIA Y CABLEADO DE RED HASTA LOS PISOS 9- 10 - 11</t>
  </si>
  <si>
    <t>TUBO EMT 1-1/4</t>
  </si>
  <si>
    <t>CURVA EMT 1-1/4</t>
  </si>
  <si>
    <t xml:space="preserve">HORNO MICROONDAS INDUSTRIAL </t>
  </si>
  <si>
    <t xml:space="preserve">COMPACTO MINIBAR </t>
  </si>
  <si>
    <t>ELECTRODOMESTICOS</t>
  </si>
  <si>
    <t xml:space="preserve">GRIFERIA </t>
  </si>
  <si>
    <t xml:space="preserve">Grifería para lavaplatos SUBCJ LV 8P PLANCA ALUVIA O SIMILAR </t>
  </si>
  <si>
    <t>Vidrio laminado 4+4 de 1.50 x 0.40</t>
  </si>
  <si>
    <t>Tapas pasa cables</t>
  </si>
  <si>
    <t>Escritorio gerencial en madera enchapado en formica en L de 1.80 de frente x 0.70 de fondo con falda en madera intercalada dando un diseño unico, con un retorno de 1.80 de largo x 0.60 de fondo mueble tipo biblioteca con multiples espacios de almacenamiento PISO 11</t>
  </si>
  <si>
    <t>MESA CIRCULAR Superficie circular de 30mm enchapada en formica heraaje metalico calibre 22 de 0.90 de diametro PISO 11</t>
  </si>
  <si>
    <t>Superficie recta de 30mm enchapada en fomica de 1.33 x 0.60</t>
  </si>
  <si>
    <t>Superficie recta de 30mm enchapada en fomica de 1.33 x 0.60 PISO 11</t>
  </si>
  <si>
    <t>Superficie recta de 30mm enchapada en fomica de 0.90 x 0.60</t>
  </si>
  <si>
    <t>Superficie recta de 30mm enchapada en fomica de 0.90 x 0.60 PISO 11</t>
  </si>
  <si>
    <t>Archivador 2x1 metal PISO 11</t>
  </si>
  <si>
    <t>Pata en U en tubo cuadra PISO 11</t>
  </si>
  <si>
    <t>Vidrio laminado 4+4 de 1.50 x 0.40 PISO 11</t>
  </si>
  <si>
    <t>Vidrio laminado 4+4 de 1.33 x 0.40 PISO 11</t>
  </si>
  <si>
    <t>Vidrio laminado 4+4 de 1.20 x 0.40 PISO 11</t>
  </si>
  <si>
    <t>Vidrio laminado 4+4 de 0.60 x 0.40 PISO 11</t>
  </si>
  <si>
    <t>Canaleta tipo zoca PISO 11</t>
  </si>
  <si>
    <t>Platinas de unión PISO 11</t>
  </si>
  <si>
    <t xml:space="preserve">Escritorio gerencial en madera enchapado en formica en L de 1.80 de frente x 0.70 de fondo con falda en madera intercalada dando un diseño unico, con un retorno de 1.80 de largo x 0.60 de fondo mueble tipo biblioteca con multiples espacios de almacenamiento PISO 10 </t>
  </si>
  <si>
    <t>MESA CIRCULAR Superficie circular de 30mm enchapada en formica heraaje metalico calibre 22 de 0.90 de diametro PISO 10</t>
  </si>
  <si>
    <t>AREA OPERATIVA PISO 10</t>
  </si>
  <si>
    <t>Superficie recta de 30mm enchapada en fomica de 1.50 x 0.60</t>
  </si>
  <si>
    <t>Archivador 2x1 metalico</t>
  </si>
  <si>
    <t>Falda metalica</t>
  </si>
  <si>
    <t>Pata en U en tubo cuadrado</t>
  </si>
  <si>
    <t>Vidrio laminado 4+4 de 0.60 x 0.40</t>
  </si>
  <si>
    <t>Canaleta tipo zocalo</t>
  </si>
  <si>
    <t>Platinas de union</t>
  </si>
  <si>
    <t>SALA DE JUNTAS PISO 10</t>
  </si>
  <si>
    <t>Mesa de juntas 3.60 de largo x 1.20 de ancho para apriximadamente 14 personas en tablex de 30mm enchapada en formica y patas entamboradas en 11 cm faldas enchapadas en formica</t>
  </si>
  <si>
    <t>RECEPCIONES</t>
  </si>
  <si>
    <t>Recepcion en tablex de 30mm enchapada en formica tipo L con mostrador tipo L laterales con carteras intercaladas de 10cm puesto interno de 2.14 x 1.36 con patas metalicas y archivador metalico 2x1</t>
  </si>
  <si>
    <t>Recepcion de en tablex enbchapda en formica de 1.70 de frente x 0.60 de fondo con diseño intercalado en alto relive forntal y lateral espacio de trabajo de 1.60 x 0.60 con archivador metalico 2x1 2 gavetas lapiceras y una de archivo colgante</t>
  </si>
  <si>
    <t xml:space="preserve">SUMINISTRO E INTALACIÓN DE MOVILIARIOS </t>
  </si>
  <si>
    <t xml:space="preserve">SILLAS </t>
  </si>
  <si>
    <t>Sillas de espera tamden aeropuerto de 3 puestos sillas metalicas con brazos y patas cromado</t>
  </si>
  <si>
    <t>SILLA TIPO BOSS INTERLOCUTORA DIRECTORES
tapizado en cuero sintético de poliuretano, brazos cromados con forros en cuerina, base cromada tipo trineo</t>
  </si>
  <si>
    <t>SILLA OPERATIVOS Mecanismo basculante con bloqueo a 90°, espaldar en malla traslúcida negra, asiento tapizado en paño negro, brazos regulables en altura, base nylon 60 cm, ruedas nylon 50mm, cabecero regulable en altura y profundidad.</t>
  </si>
  <si>
    <t xml:space="preserve">ARCHIVO RODANTE SENCILLO </t>
  </si>
  <si>
    <t>CUERPO FIJO SENCILLO (1 ESTANTERIA - 5 SERVICIOS) Medidas: 0.45cm frente x 0.98cm fondo x 2.25</t>
  </si>
  <si>
    <t>CUERPO MOVIL SENCILLO (2 ESTANTERIAS - 10 SERVICIOS) Medidas: .90cm frente x .98cm fondo x 2.25</t>
  </si>
  <si>
    <t>METRO LINEAL DE RIEL ARCHIVO RODANTE</t>
  </si>
  <si>
    <t>PUERTA DE ARCHIVO RODANTE HASTA 0.90 MT</t>
  </si>
  <si>
    <t>LATERAL DE ARCHIVO RODANTE</t>
  </si>
  <si>
    <t>ARCHIVO RODANTE DOBLE</t>
  </si>
  <si>
    <t>CUERPO FIJO DOBLE (2 ESTANTERIAS - 10 SERVICIOS) Medidas: 0.45cm frente x 1.80cm fondo x 2.25</t>
  </si>
  <si>
    <t xml:space="preserve">UND </t>
  </si>
  <si>
    <t>CUERPO MOVIL DOBLE (4 ESTANTERIAS - 20 SERVICIOS) Medidas: 0.90cm frente x 1.80cm fondo x 2.25</t>
  </si>
  <si>
    <t>MECANISMOS DE CADENA (CUERPO SENCILLO O DOBLE)</t>
  </si>
  <si>
    <t>ADMINISTRACIÓN</t>
  </si>
  <si>
    <t xml:space="preserve">IMPREVISTOS </t>
  </si>
  <si>
    <t xml:space="preserve">UTILIDAD </t>
  </si>
  <si>
    <t xml:space="preserve">TOTAL PRESUPUESTO </t>
  </si>
  <si>
    <t xml:space="preserve">IVA SOBRE LA UTILIDAD </t>
  </si>
  <si>
    <t>SUMINISTRO E INTALACIÓN DE AIRES ACONDICIONADOS PARA AREAS COMUNES</t>
  </si>
  <si>
    <t>SIST PISO TECHO INV 5TR EF16 McQUAY</t>
  </si>
  <si>
    <t>BOMBA COND SA 220v 500 L/h</t>
  </si>
  <si>
    <t>TUB RIGIDA L 3/8 x 1m (1/4 INT)</t>
  </si>
  <si>
    <t>TUB RIGIDA L 3/4 x 1m (5/8 INT)</t>
  </si>
  <si>
    <t>RUBATEX 3/8 x 1/2</t>
  </si>
  <si>
    <t>RUBATEX 3/4 x 1/2</t>
  </si>
  <si>
    <t>REFRIGERANTE R410A x 25lb (11.3kg)</t>
  </si>
  <si>
    <t>Suministro juego de bases manejadora y condensadora</t>
  </si>
  <si>
    <t>Cableado señal</t>
  </si>
  <si>
    <t>Parte eléctrica para cada aire incluye breker cableado y canaletas Valor de cada parte eléctrica</t>
  </si>
  <si>
    <t>Sistema de desagüe</t>
  </si>
  <si>
    <t>Modificaciones ventana</t>
  </si>
  <si>
    <t>Suministro varios cinta chazoz amarras grapas</t>
  </si>
  <si>
    <t>elementos soldar codos uniones racores fundente soldadura acetileno</t>
  </si>
  <si>
    <t>Suministro filtro secador</t>
  </si>
  <si>
    <t xml:space="preserve">RESUMEN PRESUPUESTO </t>
  </si>
  <si>
    <t xml:space="preserve">OBRA CIVIL </t>
  </si>
  <si>
    <t xml:space="preserve">MOBILIARIOS </t>
  </si>
  <si>
    <t>INSTALACIONES ELECTRICAS Y DATOS</t>
  </si>
  <si>
    <t>PISO 9</t>
  </si>
  <si>
    <t xml:space="preserve">Oficina directores: Escritorio gerencial en madera enchapado en formica en L de 1.80 de frente x 0.70 de fondo con falda en madera intercalada dando un diseño unico, con un retorno de 1.80 de largo x 0.60 </t>
  </si>
  <si>
    <t>MESA CIRCULAR -  30mm enchapada en formica heraaje metalico calibre 22 de 0.90 de diametro</t>
  </si>
  <si>
    <t>AREA OPERATIVA PISO 9 TIPO ISLA</t>
  </si>
  <si>
    <t>Vidrio laminado 4+4 de 1.33 x 0.40</t>
  </si>
  <si>
    <t>Vidrio laminado 4+4 de 1.20 x 0.40</t>
  </si>
  <si>
    <t>ESCRITORIO OPERATIVO OFICINAS PISO 9</t>
  </si>
  <si>
    <t>Superficie recta de 30mm enchapada en formica 1,70 x 0,60</t>
  </si>
  <si>
    <t>Superficie recta de 30mm enchapada en formica 1,00 x 0,60</t>
  </si>
  <si>
    <t>Falda en tablex de 15mm enchapada en formica de 1,60 x 0,26</t>
  </si>
  <si>
    <t>SILLA BOSS PRESIDENTE DIRECTORES: Mecanismo basculante con una posición de bloqueo a 90°, tapizado en cuero sintético de poliuretano, brazos cromados con forros en cuerina, base cromada 70cm, ruedas nylon 50mm.</t>
  </si>
  <si>
    <t>SILLA INTERLOCUTORA ISOMALLA: Estructura metalica espaldar en malla traslucida asiento tapizado en paño negro</t>
  </si>
  <si>
    <t>Mueble en tablex de 15mm enchapado en formica de 0.80 de
frente x 0.50 de fondo x 0.75 de alto con dos puertas batientes
con chapa de seguridad y 4 espacios para almacenamiento</t>
  </si>
  <si>
    <t>AIRE ACONDICIONADO Y ELECTRODOMESTICOS</t>
  </si>
  <si>
    <t>PISO CERAMICA PORCELANATO 59-60 x 59-60 cm</t>
  </si>
  <si>
    <t xml:space="preserve">GUARDA ESCOBA DE H:0.1 en PORCELANATO </t>
  </si>
  <si>
    <t>TOTAL:</t>
  </si>
  <si>
    <t xml:space="preserve">INTERVENTORIA </t>
  </si>
  <si>
    <t>OBJETO: OBRAS DE MANTENIMIENTO Y ADECUACION DE LA INFRAESTRUCTURA DE LOS  PISOS 9 10 Y 11 DEL EDIFICIO DE LA BENEFICENCIA DEL VALLE</t>
  </si>
  <si>
    <t>INSTALACIÓN DE PUERTA EXISTENTE EN SALA DE COMPUTO - PISO 10</t>
  </si>
  <si>
    <t>PISO ANTIDES- DATACENTER</t>
  </si>
  <si>
    <t>NUEVA SOLICITUD</t>
  </si>
  <si>
    <t xml:space="preserve">ELIMINAR </t>
  </si>
  <si>
    <t xml:space="preserve">INCREMENTO CANTIDAD </t>
  </si>
  <si>
    <t>REVISAR LA ELIMINACIÓN</t>
  </si>
  <si>
    <t xml:space="preserve">SE INCREMENTA 1 UNIDAD </t>
  </si>
  <si>
    <t>8 PISO 9</t>
  </si>
  <si>
    <t>8 PISO 10</t>
  </si>
  <si>
    <t>12 PISO 11</t>
  </si>
  <si>
    <t>4 PISO 12</t>
  </si>
  <si>
    <t>4 + 5 PISO 9</t>
  </si>
  <si>
    <t>4 + 8 PISO 10</t>
  </si>
  <si>
    <t>6 + 9 PISO 11</t>
  </si>
  <si>
    <t>16 PISO 9</t>
  </si>
  <si>
    <t>18 PISO 10</t>
  </si>
  <si>
    <t>16 PISO 11</t>
  </si>
  <si>
    <t>PISO 12</t>
  </si>
  <si>
    <t>10 PISO 12 SALA DE JUNTAS</t>
  </si>
  <si>
    <t>SE UNIFICAN LAS RECEPCIÓN</t>
  </si>
  <si>
    <t>Tapas pasa cables PISO 11</t>
  </si>
  <si>
    <t>PISO 10</t>
  </si>
  <si>
    <t xml:space="preserve">CERTIFICACIÓN DE REDES </t>
  </si>
  <si>
    <t>MUEBLE IMPPRESORA Y TABLERO</t>
  </si>
  <si>
    <t>Suministro e instalación Tablero en vidrio templado de 10 mm 1,80mx0,90m</t>
  </si>
  <si>
    <t xml:space="preserve">Suministro e intalacion de aire en piso 12 </t>
  </si>
  <si>
    <t>Nombre de tarea</t>
  </si>
  <si>
    <t>Duración</t>
  </si>
  <si>
    <t>OBRAS PRELIMINARES</t>
  </si>
  <si>
    <t xml:space="preserve">   LOCALIZACION-REPLANTEO OBRA ARQUITECTON.</t>
  </si>
  <si>
    <t>15 días</t>
  </si>
  <si>
    <t xml:space="preserve">   CERRAMIENTO</t>
  </si>
  <si>
    <t>10 días</t>
  </si>
  <si>
    <t>82 días</t>
  </si>
  <si>
    <t xml:space="preserve">   DEMOL.PISO ENCHAPE-BALDOSA+MORTERO</t>
  </si>
  <si>
    <t>30 días</t>
  </si>
  <si>
    <t xml:space="preserve">   RETIRO DE VINILO EXISTENTE</t>
  </si>
  <si>
    <t>24 días</t>
  </si>
  <si>
    <t xml:space="preserve">   DEMOL.GUARDAESCOBA</t>
  </si>
  <si>
    <t xml:space="preserve">   DEMOLICION DE MUROS LIVIANOS</t>
  </si>
  <si>
    <t xml:space="preserve">   RETIRO DE ESCOMBROS</t>
  </si>
  <si>
    <t>60 días</t>
  </si>
  <si>
    <t xml:space="preserve">   TRACIEGOS MATERIAL DEMOLICIONES PETREOS-VARIOS HASTA 100M</t>
  </si>
  <si>
    <t xml:space="preserve">   RETIRO LAMPARAS</t>
  </si>
  <si>
    <t>12 días</t>
  </si>
  <si>
    <t xml:space="preserve">   DESM.VENTANA EXISTENTE</t>
  </si>
  <si>
    <t xml:space="preserve">   DESMONTE MOBILIARIOS EXISTENTES</t>
  </si>
  <si>
    <t>6 días</t>
  </si>
  <si>
    <t xml:space="preserve">   DEMOL.MESON CONCRETO</t>
  </si>
  <si>
    <t>2 días</t>
  </si>
  <si>
    <t xml:space="preserve">   DESMONTE PUERTAS</t>
  </si>
  <si>
    <t>9 días</t>
  </si>
  <si>
    <t xml:space="preserve">   PICADA ABUZARDADA DE MUROS</t>
  </si>
  <si>
    <t>PISOS</t>
  </si>
  <si>
    <t>78 días</t>
  </si>
  <si>
    <t xml:space="preserve">   DILATACION PLASTICA EN "Z"</t>
  </si>
  <si>
    <t xml:space="preserve">   MORTERO NIVELACION</t>
  </si>
  <si>
    <t xml:space="preserve">   AFINADO DE PISO</t>
  </si>
  <si>
    <t xml:space="preserve">   PISO CERAMICA PORCELANATO 59-60 x 59-60 cm</t>
  </si>
  <si>
    <t xml:space="preserve">   FRAGUADO PISO CERAMICO</t>
  </si>
  <si>
    <t xml:space="preserve">   GUARDA ESCOBA DE H:0.1 en PORCELANATO</t>
  </si>
  <si>
    <t>67 días</t>
  </si>
  <si>
    <t xml:space="preserve">   REPELLO MURO 1:2</t>
  </si>
  <si>
    <t>ESTUCOS RELLENOS Y PINTURA</t>
  </si>
  <si>
    <t>76 días</t>
  </si>
  <si>
    <t xml:space="preserve">   ESTUCO CIELOS PLASTICO</t>
  </si>
  <si>
    <t xml:space="preserve">   ESTUCO MUROS PLASTICO</t>
  </si>
  <si>
    <t xml:space="preserve">   VINILTEX O SIMILAR [3M] SOBRE MUROS</t>
  </si>
  <si>
    <t xml:space="preserve">   VINILTEX O SIMILAR CIELO [3M]</t>
  </si>
  <si>
    <t>65 días</t>
  </si>
  <si>
    <t xml:space="preserve">   ESTRUC.MURO BOARD [CANAL-PARAL] 89MM C20 + PINTURA</t>
  </si>
  <si>
    <t>70 días</t>
  </si>
  <si>
    <t xml:space="preserve">   Ventana 1.2x1.2 Metros Aluminio Vidrio 4mm</t>
  </si>
  <si>
    <t xml:space="preserve">   Suministro e instalación de muebles en RH para Cocina (Incluye mueble superior)</t>
  </si>
  <si>
    <t>3 días</t>
  </si>
  <si>
    <t xml:space="preserve">   Lavaplatos de submontar con poceta de 55 cm x 43 cm en acero inoxidable - SOCODA</t>
  </si>
  <si>
    <t xml:space="preserve">   Mesón de cocina</t>
  </si>
  <si>
    <t>INSTALACIONES ELECTRICAS</t>
  </si>
  <si>
    <t xml:space="preserve">   PANEL LED RECTANGULAR 20 - 30x 1 - 120 Cm 40w Luz Blanca</t>
  </si>
  <si>
    <t xml:space="preserve">   SAL SWITCHE S1 (C/T/A:2#12/S1)</t>
  </si>
  <si>
    <t xml:space="preserve">   REUBICACIÓN DE SALIDA ELÉCTRICA</t>
  </si>
  <si>
    <t xml:space="preserve">   CABLE COBRE THWN# 12</t>
  </si>
  <si>
    <t xml:space="preserve">   SUMINISTRO E INSTALACIÓN DE BANDEJA PORTACABLES</t>
  </si>
  <si>
    <t xml:space="preserve">   CONEXIÓN CAJA DE PASO ELECTRICA</t>
  </si>
  <si>
    <t xml:space="preserve">   CONEXIÓN DE CIRCUITOS A TABLERO EXISTENTE</t>
  </si>
  <si>
    <t xml:space="preserve">   RENOVACIÓN DUCTERIA Y CABLEADO DE RED HASTA LOS PISOS 9- 10 - 11</t>
  </si>
  <si>
    <t>REDES Y COMUNICACIONES</t>
  </si>
  <si>
    <t>73 días</t>
  </si>
  <si>
    <t xml:space="preserve">   CABLE UTP CAT 6A</t>
  </si>
  <si>
    <t xml:space="preserve">   TUBO EMT 1-1/4</t>
  </si>
  <si>
    <t xml:space="preserve">   CURVA EMT 1-1/4</t>
  </si>
  <si>
    <t xml:space="preserve">   kit de conexión de red</t>
  </si>
  <si>
    <t xml:space="preserve">   access point de instalacion en techo dual band administrable</t>
  </si>
  <si>
    <t xml:space="preserve">   gabinete pequeño</t>
  </si>
  <si>
    <t>74 días</t>
  </si>
  <si>
    <t xml:space="preserve">   KIT ELECTROIMAN</t>
  </si>
  <si>
    <t xml:space="preserve">   central de control de acceso con huella, o tarjeta</t>
  </si>
  <si>
    <t xml:space="preserve">   instalacion de puntos de red</t>
  </si>
  <si>
    <t xml:space="preserve">   instalacion de control de acceso</t>
  </si>
  <si>
    <t>GRIFERIA</t>
  </si>
  <si>
    <t>64 días</t>
  </si>
  <si>
    <t xml:space="preserve">   Grifería para lavaplatos SUBCJ LV 8P PLANCA ALUVIA O SIMILAR</t>
  </si>
  <si>
    <t>63 días</t>
  </si>
  <si>
    <t xml:space="preserve">   HORNO MICROONDAS INDUSTRIAL</t>
  </si>
  <si>
    <t xml:space="preserve">   COMPACTO MINIBAR</t>
  </si>
  <si>
    <t xml:space="preserve">   LIMPIEZA PERMANENTE OBRA (CUADRILLA 2P)</t>
  </si>
  <si>
    <t>3 mss</t>
  </si>
  <si>
    <t>SUMINISTRO E INTALACIÓN DE MOVILIARIOS</t>
  </si>
  <si>
    <t xml:space="preserve">   PISO 12</t>
  </si>
  <si>
    <t xml:space="preserve">      Oficina directores: Escritorio gerencial en madera enchapado en formica en L de 1.80 de frente x 0.70 de fondo con falda en madera intercalada dando un diseño unico, con un retorno de 1.80 de largo x 0.60</t>
  </si>
  <si>
    <t xml:space="preserve">   PISO 11</t>
  </si>
  <si>
    <t xml:space="preserve">      Escritorio gerencial en madera enchapado en formica en L de 1.80 de frente x 0.70 de fondo con falda en madera intercalada dando un diseño unico, con un retorno de 1.80 de largo x 0.60 de fondo mueble tipo biblioteca con multiples espacios de almacenamien</t>
  </si>
  <si>
    <t>1 día</t>
  </si>
  <si>
    <t xml:space="preserve">      MESA CIRCULAR Superficie circular de 30mm enchapada en formica heraaje metalico calibre 22 de 0.90 de diametro PISO 11</t>
  </si>
  <si>
    <t xml:space="preserve">      Superficie recta de 30mm enchapada en fomica de 1.33 x 0.60 PISO 11</t>
  </si>
  <si>
    <t xml:space="preserve">      Superficie recta de 30mm enchapada en fomica de 0.90 x 0.60 PISO 11</t>
  </si>
  <si>
    <t xml:space="preserve">      Archivador 2x1 metal PISO 11</t>
  </si>
  <si>
    <t xml:space="preserve">      Pata en U en tubo cuadra PISO 11</t>
  </si>
  <si>
    <t xml:space="preserve">      Vidrio laminado 4+4 de 1.50 x 0.40 PISO 11</t>
  </si>
  <si>
    <t xml:space="preserve">      Vidrio laminado 4+4 de 1.33 x 0.40 PISO 11</t>
  </si>
  <si>
    <t xml:space="preserve">      Vidrio laminado 4+4 de 1.20 x 0.40 PISO 11</t>
  </si>
  <si>
    <t xml:space="preserve">      Vidrio laminado 4+4 de 0.60 x 0.40 PISO 11</t>
  </si>
  <si>
    <t xml:space="preserve">      Canaleta tipo zoca PISO 11</t>
  </si>
  <si>
    <t xml:space="preserve">      Platinas de unión PISO 11</t>
  </si>
  <si>
    <t xml:space="preserve">      Tapas pasa cables PISO 11</t>
  </si>
  <si>
    <t xml:space="preserve">   PISO 10</t>
  </si>
  <si>
    <t xml:space="preserve">      MESA CIRCULAR Superficie circular de 30mm enchapada en formica heraaje metalico calibre 22 de 0.90 de diametro PISO 10</t>
  </si>
  <si>
    <t xml:space="preserve">      AREA OPERATIVA PISO 10</t>
  </si>
  <si>
    <t xml:space="preserve">         Superficie recta de 30mm enchapada en fomica de 1.50 x 0.60</t>
  </si>
  <si>
    <t xml:space="preserve">         Superficie recta de 30mm enchapada en fomica de 1.33 x 0.60</t>
  </si>
  <si>
    <t xml:space="preserve">         Superficie recta de 30mm enchapada en fomica de 0.90 x 0.60</t>
  </si>
  <si>
    <t xml:space="preserve">         Archivador 2x1 metalico</t>
  </si>
  <si>
    <t xml:space="preserve">         Falda metalica</t>
  </si>
  <si>
    <t xml:space="preserve">         Pata en U en tubo cuadrado</t>
  </si>
  <si>
    <t xml:space="preserve">         Vidrio laminado 4+4 de 1.50 x 0.40</t>
  </si>
  <si>
    <t xml:space="preserve">         Vidrio laminado 4+4 de 0.60 x 0.40</t>
  </si>
  <si>
    <t xml:space="preserve">         Canaleta tipo zocalo</t>
  </si>
  <si>
    <t xml:space="preserve">         Platinas de union</t>
  </si>
  <si>
    <t xml:space="preserve">         Tapas pasa cables</t>
  </si>
  <si>
    <t xml:space="preserve">      SALA DE JUNTAS PISO 10</t>
  </si>
  <si>
    <t xml:space="preserve">         Mesa de juntas 3.60 de largo x 1.20 de ancho para apriximadamente 14 personas en tablex de 30mm enchapada en formica y patas entamboradas en 11 cm faldas enchapadas en formica</t>
  </si>
  <si>
    <t xml:space="preserve">   PISO 9</t>
  </si>
  <si>
    <t xml:space="preserve">      MESA CIRCULAR - 30mm enchapada en formica heraaje metalico calibre 22 de 0.90 de diametro</t>
  </si>
  <si>
    <t xml:space="preserve">      AREA OPERATIVA PISO 9 TIPO ISLA</t>
  </si>
  <si>
    <t xml:space="preserve">         Vidrio laminado 4+4 de 1.33 x 0.40</t>
  </si>
  <si>
    <t xml:space="preserve">         Vidrio laminado 4+4 de 1.20 x 0.40</t>
  </si>
  <si>
    <t xml:space="preserve">      ESCRITORIO OPERATIVO OFICINAS PISO 9</t>
  </si>
  <si>
    <t xml:space="preserve">         Superficie recta de 30mm enchapada en formica 1,70 x 0,60</t>
  </si>
  <si>
    <t xml:space="preserve">         Superficie recta de 30mm enchapada en formica 1,00 x 0,60</t>
  </si>
  <si>
    <t xml:space="preserve">         Falda en tablex de 15mm enchapada en formica de 1,60 x 0,26</t>
  </si>
  <si>
    <t xml:space="preserve">   RECEPCIONES</t>
  </si>
  <si>
    <t xml:space="preserve">      Recepcion de en tablex enbchapda en formica de 1.70 de frente x 0.60 de fondo con diseño intercalado en alto relive forntal y lateral espacio de trabajo de 1.60 x 0.60 con archivador metalico 2x1 2 gavetas lapiceras y una de archivo colgante</t>
  </si>
  <si>
    <t xml:space="preserve">   SILLAS</t>
  </si>
  <si>
    <t>5 días</t>
  </si>
  <si>
    <t xml:space="preserve">      Sillas de espera tamden aeropuerto de 3 puestos sillas metalicas con brazos y patas cromado</t>
  </si>
  <si>
    <t xml:space="preserve">      SILLA TIPO BOSS INTERLOCUTORA DIRECTORES tapizado en cuero sintético de poliuretano, brazos cromados con forros en cuerina, base cromada tipo trineo</t>
  </si>
  <si>
    <t xml:space="preserve">      SILLA OPERATIVOS Mecanismo basculante con bloqueo a 90°, espaldar en malla traslúcida negra, asiento tapizado en paño negro, brazos regulables en altura, base nylon 60 cm, ruedas nylon 50mm, cabecero regulable en altura y profundidad.</t>
  </si>
  <si>
    <t xml:space="preserve">      SILLA BOSS PRESIDENTE DIRECTORES: Mecanismo basculante con una posición de bloqueo a 90°, tapizado en cuero sintético de poliuretano, brazos cromados con forros en cuerina, base cromada 70cm, ruedas nylon 50mm.</t>
  </si>
  <si>
    <t xml:space="preserve">      SILLA INTERLOCUTORA ISOMALLA: Estructura metalica espaldar en malla traslucida asiento tapizado en paño negro</t>
  </si>
  <si>
    <t xml:space="preserve">   ARCHIVO RODANTE SENCILLO</t>
  </si>
  <si>
    <t xml:space="preserve">      CUERPO FIJO SENCILLO (1 ESTANTERIA - 5 SERVICIOS) Medidas: 0.45cm frente x 0.98cm fondo x 2.25</t>
  </si>
  <si>
    <t>8 días</t>
  </si>
  <si>
    <t xml:space="preserve">      CUERPO MOVIL SENCILLO (2 ESTANTERIAS - 10 SERVICIOS) Medidas: .90cm frente x .98cm fondo x 2.25</t>
  </si>
  <si>
    <t xml:space="preserve">      METRO LINEAL DE RIEL ARCHIVO RODANTE</t>
  </si>
  <si>
    <t xml:space="preserve">      PUERTA DE ARCHIVO RODANTE HASTA 0.90 MT</t>
  </si>
  <si>
    <t xml:space="preserve">      LATERAL DE ARCHIVO RODANTE</t>
  </si>
  <si>
    <t xml:space="preserve">      MECANISMOS DE CADENA (CUERPO SENCILLO O DOBLE)</t>
  </si>
  <si>
    <t xml:space="preserve">   ARCHIVO RODANTE DOBLE</t>
  </si>
  <si>
    <t xml:space="preserve">      CUERPO FIJO DOBLE (2 ESTANTERIAS - 10 SERVICIOS) Medidas: 0.45cm frente x 1.80cm fondo x 2.25</t>
  </si>
  <si>
    <t xml:space="preserve">      CUERPO MOVIL DOBLE (4 ESTANTERIAS - 20 SERVICIOS) Medidas: 0.90cm frente x 1.80cm fondo x 2.25</t>
  </si>
  <si>
    <t xml:space="preserve">   MUEBLE IMPPRESORA Y TABLERO</t>
  </si>
  <si>
    <t xml:space="preserve">      Mueble en tablex de 15mm enchapado en formica de 0.80 de frente x 0.50 de fondo x 0.75 de alto con dos puertas batientes con chapa de seguridad y 4 espacios para almacenamiento</t>
  </si>
  <si>
    <t xml:space="preserve">      Suministro e instalación Tablero en vidrio templado de 10 mm 1,80mx0,90m</t>
  </si>
  <si>
    <t xml:space="preserve">   SIST PISO TECHO INV 5TR EF16 McQUAY</t>
  </si>
  <si>
    <t xml:space="preserve">   BOMBA COND SA 220v 500 L/h</t>
  </si>
  <si>
    <t xml:space="preserve">   TUB RIGIDA L 3/8 x 1m (1/4 INT)</t>
  </si>
  <si>
    <t xml:space="preserve">   TUB RIGIDA L 3/4 x 1m (5/8 INT)</t>
  </si>
  <si>
    <t xml:space="preserve">   RUBATEX 3/8 x 1/2</t>
  </si>
  <si>
    <t xml:space="preserve">   RUBATEX 3/4 x 1/2</t>
  </si>
  <si>
    <t xml:space="preserve">   REFRIGERANTE R410A x 25lb (11.3kg)</t>
  </si>
  <si>
    <t xml:space="preserve">   Suministro juego de bases manejadora y condensadora</t>
  </si>
  <si>
    <t xml:space="preserve">   Cableado señal</t>
  </si>
  <si>
    <t xml:space="preserve">   Parte eléctrica para cada aire incluye breker cableado y canaletas Valor de cada parte eléctrica</t>
  </si>
  <si>
    <t xml:space="preserve">   Sistema de desagüe</t>
  </si>
  <si>
    <t xml:space="preserve">   Modificaciones ventana</t>
  </si>
  <si>
    <t xml:space="preserve">   Suministro varios cinta chazoz amarras grapas</t>
  </si>
  <si>
    <t xml:space="preserve">   elementos soldar codos uniones racores fundente soldadura acetileno</t>
  </si>
  <si>
    <t xml:space="preserve">   Suministro filtro secador</t>
  </si>
  <si>
    <t xml:space="preserve">   Suministro e intalacion de aire en piso 12</t>
  </si>
  <si>
    <t xml:space="preserve">   FIN DE LA OBRA</t>
  </si>
  <si>
    <t>0 días</t>
  </si>
  <si>
    <t>SEMANA 1</t>
  </si>
  <si>
    <t>SEMANA 2</t>
  </si>
  <si>
    <t>SEMANA 3</t>
  </si>
  <si>
    <t>SEMANA 4</t>
  </si>
  <si>
    <t>SEMANA 5</t>
  </si>
  <si>
    <t>SEMANA 7</t>
  </si>
  <si>
    <t>SEMANA 6</t>
  </si>
  <si>
    <t>SEMANA 8</t>
  </si>
  <si>
    <t>SEMANA 9</t>
  </si>
  <si>
    <t>SEMANA 10</t>
  </si>
  <si>
    <t>SEMANA 11</t>
  </si>
  <si>
    <t>SEMANA 12</t>
  </si>
  <si>
    <t>OBJETO: REALIZAR LAS OBRAS DE REMODELACIÓN PARA MODERNIZACIÓN DE LA INFRAESTRUCTURA FÍSICA Y SUMINISTRO E INSTALACIÓN DE MOBILIARIO EN LOS PISOS 9, 10, 11 y 12 DEL EDIFICIO BENEFICENCIA DEL VALLE DEL CAUCA E.I.C.E., ubicado en la Calle 9 No. 4 - 50 de San</t>
  </si>
  <si>
    <t>PISO 11</t>
  </si>
  <si>
    <t>piso 9</t>
  </si>
  <si>
    <t xml:space="preserve">PISO 9 </t>
  </si>
  <si>
    <t>90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</si>
</sst>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164" formatCode="_-&quot;$&quot;\ * #,##0.00_-;\-&quot;$&quot;\ * #,##0.00_-;_-&quot;$&quot;\ * &quot;-&quot;??_-;_-@_-"/>
    <numFmt numFmtId="165" formatCode="#,##0.0"/>
    <numFmt numFmtId="166" formatCode="0.0"/>
    <numFmt numFmtId="167" formatCode="&quot;$&quot;#,##0_);[Red]\(&quot;$&quot;#,##0\)"/>
    <numFmt numFmtId="168" formatCode="_(&quot;$&quot;* #,##0_);_(&quot;$&quot;* \(#,##0\);_(&quot;$&quot;* &quot;-&quot;_);_(@_)"/>
    <numFmt numFmtId="170" formatCode="[$-F800]dddd\,\ mmmm\ dd\,\ yyyy"/>
  </numFmts>
  <fonts count="5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Calibri Light"/>
      <family val="2"/>
    </font>
    <font>
      <b/>
      <u/>
      <sz val="22"/>
      <color theme="1"/>
      <name val="Calibri Light"/>
      <family val="2"/>
    </font>
    <font>
      <sz val="12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color theme="1"/>
      <name val="Courier New"/>
      <family val="1"/>
    </font>
    <font>
      <sz val="20"/>
      <color theme="1"/>
      <name val="Courier New"/>
      <family val="1"/>
    </font>
    <font>
      <sz val="12"/>
      <color theme="1"/>
      <name val="Courier New"/>
      <family val="1"/>
    </font>
    <font>
      <sz val="14"/>
      <color theme="1"/>
      <name val="Courier New"/>
      <family val="1"/>
    </font>
    <font>
      <b/>
      <sz val="14"/>
      <color theme="1"/>
      <name val="Courier New"/>
      <family val="1"/>
    </font>
    <font>
      <b/>
      <sz val="12"/>
      <color theme="1"/>
      <name val="Courier New"/>
      <family val="1"/>
    </font>
    <font>
      <b/>
      <sz val="12"/>
      <name val="Courier New"/>
      <family val="1"/>
    </font>
    <font>
      <sz val="12"/>
      <name val="Courier New"/>
      <family val="1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Roboto"/>
    </font>
    <font>
      <sz val="11"/>
      <color theme="0"/>
      <name val="Calibri"/>
      <family val="2"/>
      <scheme val="minor"/>
    </font>
    <font>
      <b/>
      <i/>
      <sz val="12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9"/>
      <color rgb="FF363636"/>
      <name val="Segoe UI"/>
      <family val="2"/>
    </font>
    <font>
      <sz val="8"/>
      <color rgb="FF000000"/>
      <name val="Arial Narrow"/>
      <family val="2"/>
    </font>
    <font>
      <b/>
      <sz val="9"/>
      <color rgb="FF363636"/>
      <name val="Segoe UI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rgb="FF363636"/>
      <name val="Segoe U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7"/>
      <name val="Arial Narrow"/>
      <family val="2"/>
    </font>
    <font>
      <sz val="6"/>
      <color rgb="FF00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3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rgb="FFB1BBCC"/>
      </left>
      <right style="medium">
        <color indexed="64"/>
      </right>
      <top style="thin">
        <color rgb="FFB1BBCC"/>
      </top>
      <bottom style="thin">
        <color rgb="FFB1BBCC"/>
      </bottom>
      <diagonal/>
    </border>
    <border>
      <left style="medium">
        <color indexed="64"/>
      </left>
      <right style="thin">
        <color rgb="FFB1BBCC"/>
      </right>
      <top style="thin">
        <color rgb="FFB1BBCC"/>
      </top>
      <bottom style="medium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medium">
        <color indexed="64"/>
      </bottom>
      <diagonal/>
    </border>
    <border>
      <left style="thin">
        <color rgb="FFB1BBCC"/>
      </left>
      <right style="medium">
        <color indexed="64"/>
      </right>
      <top style="thin">
        <color rgb="FFB1BBCC"/>
      </top>
      <bottom style="medium">
        <color indexed="64"/>
      </bottom>
      <diagonal/>
    </border>
    <border>
      <left style="medium">
        <color indexed="64"/>
      </left>
      <right style="thin">
        <color rgb="FFB1BBCC"/>
      </right>
      <top/>
      <bottom style="thin">
        <color rgb="FFB1BBCC"/>
      </bottom>
      <diagonal/>
    </border>
    <border>
      <left style="thin">
        <color rgb="FFB1BBCC"/>
      </left>
      <right style="thin">
        <color rgb="FFB1BBCC"/>
      </right>
      <top/>
      <bottom style="thin">
        <color rgb="FFB1BBCC"/>
      </bottom>
      <diagonal/>
    </border>
    <border>
      <left style="thin">
        <color rgb="FFB1BBCC"/>
      </left>
      <right style="medium">
        <color indexed="64"/>
      </right>
      <top/>
      <bottom style="thin">
        <color rgb="FFB1BBCC"/>
      </bottom>
      <diagonal/>
    </border>
    <border>
      <left style="medium">
        <color indexed="64"/>
      </left>
      <right/>
      <top style="thin">
        <color rgb="FFB1BBCC"/>
      </top>
      <bottom style="medium">
        <color indexed="64"/>
      </bottom>
      <diagonal/>
    </border>
    <border>
      <left/>
      <right/>
      <top style="thin">
        <color rgb="FFB1BBCC"/>
      </top>
      <bottom style="medium">
        <color indexed="64"/>
      </bottom>
      <diagonal/>
    </border>
    <border>
      <left/>
      <right style="thin">
        <color rgb="FFB1BBCC"/>
      </right>
      <top style="thin">
        <color rgb="FFB1BBCC"/>
      </top>
      <bottom style="medium">
        <color indexed="64"/>
      </bottom>
      <diagonal/>
    </border>
    <border>
      <left style="thin">
        <color rgb="FFB1BBCC"/>
      </left>
      <right/>
      <top style="thin">
        <color rgb="FFB1BBCC"/>
      </top>
      <bottom style="medium">
        <color indexed="64"/>
      </bottom>
      <diagonal/>
    </border>
    <border>
      <left/>
      <right style="medium">
        <color indexed="64"/>
      </right>
      <top style="thin">
        <color rgb="FFB1BBCC"/>
      </top>
      <bottom style="medium">
        <color indexed="64"/>
      </bottom>
      <diagonal/>
    </border>
    <border>
      <left style="medium">
        <color indexed="64"/>
      </left>
      <right/>
      <top style="thin">
        <color rgb="FFB1BBCC"/>
      </top>
      <bottom style="thin">
        <color rgb="FFB1BBCC"/>
      </bottom>
      <diagonal/>
    </border>
    <border>
      <left/>
      <right/>
      <top style="thin">
        <color rgb="FFB1BBCC"/>
      </top>
      <bottom style="thin">
        <color rgb="FFB1BBCC"/>
      </bottom>
      <diagonal/>
    </border>
    <border>
      <left/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rgb="FFB1BBCC"/>
      </left>
      <right/>
      <top style="thin">
        <color rgb="FFB1BBCC"/>
      </top>
      <bottom style="thin">
        <color rgb="FFB1BBCC"/>
      </bottom>
      <diagonal/>
    </border>
    <border>
      <left/>
      <right style="medium">
        <color indexed="64"/>
      </right>
      <top style="thin">
        <color rgb="FFB1BBCC"/>
      </top>
      <bottom style="thin">
        <color rgb="FFB1BBCC"/>
      </bottom>
      <diagonal/>
    </border>
    <border>
      <left/>
      <right/>
      <top style="thin">
        <color rgb="FFB1BBCC"/>
      </top>
      <bottom/>
      <diagonal/>
    </border>
    <border>
      <left/>
      <right style="thin">
        <color rgb="FFB1BBCC"/>
      </right>
      <top/>
      <bottom/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  <xf numFmtId="9" fontId="5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4">
    <xf numFmtId="0" fontId="0" fillId="0" borderId="0" xfId="0"/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9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166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2" fillId="0" borderId="0" xfId="0" applyFont="1"/>
    <xf numFmtId="10" fontId="1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5" borderId="0" xfId="0" applyFont="1" applyFill="1" applyAlignment="1">
      <alignment vertical="center"/>
    </xf>
    <xf numFmtId="2" fontId="19" fillId="0" borderId="0" xfId="0" applyNumberFormat="1" applyFont="1" applyAlignment="1">
      <alignment vertical="center" wrapText="1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8" fontId="20" fillId="0" borderId="0" xfId="5" applyFont="1" applyFill="1" applyBorder="1" applyAlignment="1">
      <alignment horizontal="center" vertical="center" wrapText="1"/>
    </xf>
    <xf numFmtId="0" fontId="15" fillId="5" borderId="0" xfId="0" applyFont="1" applyFill="1"/>
    <xf numFmtId="0" fontId="17" fillId="5" borderId="0" xfId="0" applyFont="1" applyFill="1"/>
    <xf numFmtId="0" fontId="15" fillId="5" borderId="0" xfId="0" applyFont="1" applyFill="1" applyAlignment="1">
      <alignment vertical="center"/>
    </xf>
    <xf numFmtId="0" fontId="21" fillId="7" borderId="11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center" vertical="center" wrapText="1"/>
    </xf>
    <xf numFmtId="168" fontId="20" fillId="7" borderId="13" xfId="5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167" fontId="17" fillId="0" borderId="5" xfId="0" applyNumberFormat="1" applyFont="1" applyBorder="1" applyAlignment="1">
      <alignment horizontal="center" vertical="center" wrapText="1"/>
    </xf>
    <xf numFmtId="168" fontId="17" fillId="0" borderId="15" xfId="5" applyFont="1" applyFill="1" applyBorder="1" applyAlignment="1">
      <alignment horizontal="center" vertical="center" wrapText="1"/>
    </xf>
    <xf numFmtId="167" fontId="17" fillId="5" borderId="0" xfId="0" applyNumberFormat="1" applyFont="1" applyFill="1"/>
    <xf numFmtId="168" fontId="20" fillId="0" borderId="18" xfId="5" applyFont="1" applyFill="1" applyBorder="1" applyAlignment="1">
      <alignment horizontal="center" vertical="center" wrapText="1"/>
    </xf>
    <xf numFmtId="0" fontId="20" fillId="6" borderId="0" xfId="0" applyFont="1" applyFill="1" applyAlignment="1">
      <alignment vertical="center" wrapText="1"/>
    </xf>
    <xf numFmtId="2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/>
    </xf>
    <xf numFmtId="168" fontId="17" fillId="0" borderId="0" xfId="5" applyFont="1" applyFill="1"/>
    <xf numFmtId="0" fontId="18" fillId="0" borderId="0" xfId="0" applyFont="1" applyAlignment="1">
      <alignment vertical="center"/>
    </xf>
    <xf numFmtId="168" fontId="19" fillId="8" borderId="5" xfId="5" applyFont="1" applyFill="1" applyBorder="1" applyAlignment="1">
      <alignment horizontal="center" vertical="center" wrapText="1"/>
    </xf>
    <xf numFmtId="0" fontId="18" fillId="0" borderId="0" xfId="0" applyFont="1"/>
    <xf numFmtId="10" fontId="19" fillId="8" borderId="5" xfId="0" applyNumberFormat="1" applyFont="1" applyFill="1" applyBorder="1" applyAlignment="1">
      <alignment horizontal="center" vertical="center" wrapText="1"/>
    </xf>
    <xf numFmtId="10" fontId="19" fillId="8" borderId="17" xfId="0" applyNumberFormat="1" applyFont="1" applyFill="1" applyBorder="1" applyAlignment="1">
      <alignment horizontal="center" vertical="center" wrapText="1"/>
    </xf>
    <xf numFmtId="10" fontId="19" fillId="8" borderId="14" xfId="0" applyNumberFormat="1" applyFont="1" applyFill="1" applyBorder="1" applyAlignment="1">
      <alignment horizontal="center" vertical="center" wrapText="1"/>
    </xf>
    <xf numFmtId="168" fontId="19" fillId="8" borderId="14" xfId="5" applyFont="1" applyFill="1" applyBorder="1" applyAlignment="1">
      <alignment horizontal="center" vertical="center" wrapText="1"/>
    </xf>
    <xf numFmtId="0" fontId="18" fillId="5" borderId="0" xfId="0" applyFont="1" applyFill="1"/>
    <xf numFmtId="2" fontId="17" fillId="0" borderId="21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vertical="center" wrapText="1"/>
    </xf>
    <xf numFmtId="168" fontId="17" fillId="0" borderId="21" xfId="5" applyFont="1" applyFill="1" applyBorder="1" applyAlignment="1">
      <alignment vertical="center" wrapText="1"/>
    </xf>
    <xf numFmtId="168" fontId="17" fillId="0" borderId="0" xfId="5" applyFont="1"/>
    <xf numFmtId="0" fontId="23" fillId="0" borderId="0" xfId="0" applyFont="1" applyAlignment="1">
      <alignment vertical="center"/>
    </xf>
    <xf numFmtId="0" fontId="25" fillId="0" borderId="0" xfId="0" applyFont="1"/>
    <xf numFmtId="0" fontId="23" fillId="0" borderId="0" xfId="0" applyFont="1"/>
    <xf numFmtId="0" fontId="26" fillId="5" borderId="0" xfId="0" applyFont="1" applyFill="1" applyAlignment="1">
      <alignment vertical="center"/>
    </xf>
    <xf numFmtId="2" fontId="27" fillId="0" borderId="0" xfId="0" applyNumberFormat="1" applyFont="1" applyAlignment="1">
      <alignment vertical="center" wrapText="1"/>
    </xf>
    <xf numFmtId="2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3" fillId="5" borderId="0" xfId="0" applyFont="1" applyFill="1"/>
    <xf numFmtId="0" fontId="25" fillId="5" borderId="0" xfId="0" applyFont="1" applyFill="1"/>
    <xf numFmtId="0" fontId="28" fillId="0" borderId="0" xfId="0" applyFont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29" fillId="9" borderId="5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167" fontId="25" fillId="0" borderId="5" xfId="0" applyNumberFormat="1" applyFont="1" applyBorder="1" applyAlignment="1">
      <alignment horizontal="center" vertical="center" wrapText="1"/>
    </xf>
    <xf numFmtId="167" fontId="28" fillId="0" borderId="17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/>
    </xf>
    <xf numFmtId="167" fontId="28" fillId="0" borderId="12" xfId="0" applyNumberFormat="1" applyFont="1" applyBorder="1" applyAlignment="1">
      <alignment horizontal="center" vertical="center" wrapText="1"/>
    </xf>
    <xf numFmtId="10" fontId="25" fillId="0" borderId="5" xfId="0" applyNumberFormat="1" applyFont="1" applyBorder="1" applyAlignment="1">
      <alignment horizontal="center" vertical="center" wrapText="1"/>
    </xf>
    <xf numFmtId="167" fontId="27" fillId="10" borderId="5" xfId="0" applyNumberFormat="1" applyFont="1" applyFill="1" applyBorder="1" applyAlignment="1">
      <alignment horizontal="center" vertical="center" wrapText="1"/>
    </xf>
    <xf numFmtId="168" fontId="0" fillId="0" borderId="0" xfId="5" applyFont="1"/>
    <xf numFmtId="2" fontId="25" fillId="0" borderId="2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vertical="center" wrapText="1"/>
    </xf>
    <xf numFmtId="2" fontId="11" fillId="5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65" fontId="0" fillId="0" borderId="0" xfId="0" applyNumberFormat="1"/>
    <xf numFmtId="2" fontId="31" fillId="0" borderId="0" xfId="2" applyNumberFormat="1" applyFont="1" applyAlignment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/>
      <protection hidden="1"/>
    </xf>
    <xf numFmtId="0" fontId="32" fillId="2" borderId="3" xfId="2" applyFont="1" applyFill="1" applyBorder="1" applyAlignment="1" applyProtection="1">
      <alignment horizontal="center" vertical="center" wrapText="1"/>
      <protection hidden="1"/>
    </xf>
    <xf numFmtId="0" fontId="32" fillId="2" borderId="3" xfId="2" applyFont="1" applyFill="1" applyBorder="1" applyAlignment="1" applyProtection="1">
      <alignment horizontal="center" vertical="center"/>
      <protection hidden="1"/>
    </xf>
    <xf numFmtId="4" fontId="32" fillId="2" borderId="3" xfId="2" applyNumberFormat="1" applyFont="1" applyFill="1" applyBorder="1" applyAlignment="1" applyProtection="1">
      <alignment horizontal="center" vertical="center"/>
      <protection hidden="1"/>
    </xf>
    <xf numFmtId="0" fontId="33" fillId="3" borderId="5" xfId="2" applyFont="1" applyFill="1" applyBorder="1" applyAlignment="1" applyProtection="1">
      <alignment horizontal="center" vertical="center" wrapText="1"/>
      <protection locked="0" hidden="1"/>
    </xf>
    <xf numFmtId="0" fontId="33" fillId="3" borderId="5" xfId="2" applyFont="1" applyFill="1" applyBorder="1" applyAlignment="1" applyProtection="1">
      <alignment vertical="center" wrapText="1"/>
      <protection hidden="1"/>
    </xf>
    <xf numFmtId="0" fontId="33" fillId="3" borderId="5" xfId="2" applyFont="1" applyFill="1" applyBorder="1" applyAlignment="1" applyProtection="1">
      <alignment horizontal="center" vertical="center" wrapText="1"/>
      <protection hidden="1"/>
    </xf>
    <xf numFmtId="0" fontId="33" fillId="0" borderId="6" xfId="2" applyFont="1" applyBorder="1" applyAlignment="1" applyProtection="1">
      <alignment horizontal="center" vertical="center" wrapText="1"/>
      <protection locked="0" hidden="1"/>
    </xf>
    <xf numFmtId="0" fontId="33" fillId="0" borderId="5" xfId="2" applyFont="1" applyBorder="1" applyAlignment="1" applyProtection="1">
      <alignment vertical="center" wrapText="1"/>
      <protection hidden="1"/>
    </xf>
    <xf numFmtId="0" fontId="33" fillId="0" borderId="5" xfId="2" applyFont="1" applyBorder="1" applyAlignment="1" applyProtection="1">
      <alignment horizontal="center" vertical="center" wrapText="1"/>
      <protection hidden="1"/>
    </xf>
    <xf numFmtId="0" fontId="32" fillId="0" borderId="6" xfId="2" applyFont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wrapText="1"/>
    </xf>
    <xf numFmtId="165" fontId="33" fillId="3" borderId="5" xfId="2" applyNumberFormat="1" applyFont="1" applyFill="1" applyBorder="1" applyAlignment="1" applyProtection="1">
      <alignment horizontal="center" vertical="center" wrapText="1"/>
      <protection locked="0" hidden="1"/>
    </xf>
    <xf numFmtId="165" fontId="33" fillId="0" borderId="5" xfId="2" applyNumberFormat="1" applyFont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horizontal="center"/>
    </xf>
    <xf numFmtId="0" fontId="33" fillId="0" borderId="5" xfId="2" applyFont="1" applyBorder="1" applyAlignment="1" applyProtection="1">
      <alignment vertical="center" wrapText="1"/>
      <protection locked="0"/>
    </xf>
    <xf numFmtId="0" fontId="33" fillId="4" borderId="22" xfId="2" applyFont="1" applyFill="1" applyBorder="1" applyAlignment="1" applyProtection="1">
      <alignment horizontal="center" vertical="center"/>
      <protection locked="0"/>
    </xf>
    <xf numFmtId="42" fontId="31" fillId="0" borderId="0" xfId="1" applyFont="1" applyAlignment="1">
      <alignment horizontal="center" vertical="center" wrapText="1"/>
    </xf>
    <xf numFmtId="42" fontId="32" fillId="2" borderId="3" xfId="1" applyFont="1" applyFill="1" applyBorder="1" applyAlignment="1" applyProtection="1">
      <alignment horizontal="center" vertical="center"/>
      <protection hidden="1"/>
    </xf>
    <xf numFmtId="42" fontId="33" fillId="3" borderId="5" xfId="1" applyFont="1" applyFill="1" applyBorder="1" applyAlignment="1" applyProtection="1">
      <alignment horizontal="right" vertical="center" wrapText="1"/>
      <protection locked="0" hidden="1"/>
    </xf>
    <xf numFmtId="42" fontId="10" fillId="0" borderId="0" xfId="1" applyFont="1"/>
    <xf numFmtId="42" fontId="0" fillId="0" borderId="0" xfId="1" applyFont="1"/>
    <xf numFmtId="9" fontId="33" fillId="4" borderId="22" xfId="6" applyFont="1" applyFill="1" applyBorder="1" applyAlignment="1" applyProtection="1">
      <alignment vertical="center"/>
      <protection locked="0"/>
    </xf>
    <xf numFmtId="0" fontId="34" fillId="0" borderId="0" xfId="0" applyFont="1"/>
    <xf numFmtId="165" fontId="34" fillId="0" borderId="0" xfId="0" applyNumberFormat="1" applyFont="1"/>
    <xf numFmtId="42" fontId="34" fillId="0" borderId="0" xfId="0" applyNumberFormat="1" applyFont="1"/>
    <xf numFmtId="42" fontId="34" fillId="0" borderId="0" xfId="1" applyFont="1"/>
    <xf numFmtId="42" fontId="32" fillId="4" borderId="22" xfId="1" applyFont="1" applyFill="1" applyBorder="1" applyAlignment="1" applyProtection="1">
      <alignment horizontal="right" vertical="center"/>
      <protection locked="0"/>
    </xf>
    <xf numFmtId="0" fontId="33" fillId="0" borderId="17" xfId="2" applyFont="1" applyBorder="1" applyAlignment="1" applyProtection="1">
      <alignment horizontal="center" vertical="center" wrapText="1"/>
      <protection hidden="1"/>
    </xf>
    <xf numFmtId="165" fontId="33" fillId="0" borderId="17" xfId="2" applyNumberFormat="1" applyFont="1" applyBorder="1" applyAlignment="1" applyProtection="1">
      <alignment horizontal="center" vertical="center" wrapText="1"/>
      <protection locked="0" hidden="1"/>
    </xf>
    <xf numFmtId="42" fontId="33" fillId="3" borderId="17" xfId="1" applyFont="1" applyFill="1" applyBorder="1" applyAlignment="1" applyProtection="1">
      <alignment horizontal="right" vertical="center" wrapText="1"/>
      <protection locked="0" hidden="1"/>
    </xf>
    <xf numFmtId="0" fontId="33" fillId="4" borderId="23" xfId="2" applyFont="1" applyFill="1" applyBorder="1" applyAlignment="1" applyProtection="1">
      <alignment vertical="center"/>
      <protection locked="0"/>
    </xf>
    <xf numFmtId="0" fontId="33" fillId="4" borderId="24" xfId="2" applyFont="1" applyFill="1" applyBorder="1" applyAlignment="1" applyProtection="1">
      <alignment horizontal="center" vertical="center"/>
      <protection locked="0"/>
    </xf>
    <xf numFmtId="42" fontId="33" fillId="4" borderId="24" xfId="1" applyFont="1" applyFill="1" applyBorder="1" applyAlignment="1" applyProtection="1">
      <alignment vertical="center"/>
      <protection locked="0"/>
    </xf>
    <xf numFmtId="42" fontId="33" fillId="4" borderId="25" xfId="1" applyFont="1" applyFill="1" applyBorder="1" applyAlignment="1" applyProtection="1">
      <alignment vertical="center"/>
      <protection locked="0"/>
    </xf>
    <xf numFmtId="0" fontId="33" fillId="4" borderId="26" xfId="2" applyFont="1" applyFill="1" applyBorder="1" applyAlignment="1" applyProtection="1">
      <alignment vertical="center"/>
      <protection locked="0"/>
    </xf>
    <xf numFmtId="42" fontId="33" fillId="4" borderId="27" xfId="1" applyFont="1" applyFill="1" applyBorder="1" applyAlignment="1" applyProtection="1">
      <alignment vertical="center"/>
      <protection locked="0"/>
    </xf>
    <xf numFmtId="42" fontId="32" fillId="4" borderId="29" xfId="1" applyFont="1" applyFill="1" applyBorder="1" applyAlignment="1" applyProtection="1">
      <alignment horizontal="right" vertical="center"/>
      <protection locked="0"/>
    </xf>
    <xf numFmtId="42" fontId="32" fillId="4" borderId="30" xfId="1" applyFont="1" applyFill="1" applyBorder="1" applyAlignment="1" applyProtection="1">
      <alignment horizontal="right" vertical="center"/>
      <protection locked="0"/>
    </xf>
    <xf numFmtId="0" fontId="32" fillId="12" borderId="6" xfId="2" applyFont="1" applyFill="1" applyBorder="1" applyAlignment="1" applyProtection="1">
      <alignment horizontal="center" vertical="center" wrapText="1"/>
      <protection locked="0" hidden="1"/>
    </xf>
    <xf numFmtId="0" fontId="32" fillId="12" borderId="5" xfId="2" applyFont="1" applyFill="1" applyBorder="1" applyAlignment="1" applyProtection="1">
      <alignment vertical="center" wrapText="1"/>
      <protection locked="0"/>
    </xf>
    <xf numFmtId="0" fontId="32" fillId="12" borderId="5" xfId="2" applyFont="1" applyFill="1" applyBorder="1" applyAlignment="1" applyProtection="1">
      <alignment horizontal="center" vertical="center" wrapText="1"/>
      <protection hidden="1"/>
    </xf>
    <xf numFmtId="165" fontId="32" fillId="12" borderId="5" xfId="2" applyNumberFormat="1" applyFont="1" applyFill="1" applyBorder="1" applyAlignment="1" applyProtection="1">
      <alignment horizontal="center" vertical="center" wrapText="1"/>
      <protection locked="0" hidden="1"/>
    </xf>
    <xf numFmtId="42" fontId="32" fillId="12" borderId="5" xfId="1" applyFont="1" applyFill="1" applyBorder="1" applyAlignment="1" applyProtection="1">
      <alignment horizontal="right" vertical="center" wrapText="1"/>
      <protection locked="0" hidden="1"/>
    </xf>
    <xf numFmtId="0" fontId="34" fillId="12" borderId="0" xfId="0" applyFont="1" applyFill="1"/>
    <xf numFmtId="165" fontId="34" fillId="12" borderId="0" xfId="0" applyNumberFormat="1" applyFont="1" applyFill="1"/>
    <xf numFmtId="0" fontId="33" fillId="3" borderId="14" xfId="2" applyFont="1" applyFill="1" applyBorder="1" applyAlignment="1" applyProtection="1">
      <alignment horizontal="center" vertical="center" wrapText="1"/>
      <protection locked="0" hidden="1"/>
    </xf>
    <xf numFmtId="2" fontId="33" fillId="0" borderId="6" xfId="2" applyNumberFormat="1" applyFont="1" applyBorder="1" applyAlignment="1" applyProtection="1">
      <alignment horizontal="center" vertical="center" wrapText="1"/>
      <protection locked="0" hidden="1"/>
    </xf>
    <xf numFmtId="0" fontId="35" fillId="0" borderId="31" xfId="0" applyFont="1" applyBorder="1" applyAlignment="1">
      <alignment wrapText="1"/>
    </xf>
    <xf numFmtId="42" fontId="35" fillId="0" borderId="31" xfId="1" applyFont="1" applyBorder="1" applyAlignment="1">
      <alignment vertical="center" wrapText="1"/>
    </xf>
    <xf numFmtId="42" fontId="35" fillId="0" borderId="31" xfId="1" applyFont="1" applyBorder="1" applyAlignment="1">
      <alignment wrapText="1"/>
    </xf>
    <xf numFmtId="4" fontId="36" fillId="0" borderId="0" xfId="0" applyNumberFormat="1" applyFont="1" applyAlignment="1">
      <alignment horizontal="right" wrapText="1" indent="1"/>
    </xf>
    <xf numFmtId="0" fontId="32" fillId="0" borderId="5" xfId="2" applyFont="1" applyBorder="1" applyAlignment="1" applyProtection="1">
      <alignment vertical="center" wrapText="1"/>
      <protection locked="0"/>
    </xf>
    <xf numFmtId="42" fontId="37" fillId="3" borderId="0" xfId="1" applyFont="1" applyFill="1"/>
    <xf numFmtId="42" fontId="38" fillId="5" borderId="28" xfId="1" applyFont="1" applyFill="1" applyBorder="1" applyAlignment="1" applyProtection="1">
      <alignment vertical="center"/>
      <protection hidden="1"/>
    </xf>
    <xf numFmtId="42" fontId="39" fillId="0" borderId="0" xfId="1" applyFont="1" applyAlignment="1">
      <alignment vertical="center"/>
    </xf>
    <xf numFmtId="9" fontId="34" fillId="0" borderId="5" xfId="0" applyNumberFormat="1" applyFont="1" applyBorder="1" applyAlignment="1">
      <alignment horizontal="center"/>
    </xf>
    <xf numFmtId="0" fontId="36" fillId="0" borderId="0" xfId="0" applyFont="1" applyAlignment="1">
      <alignment horizontal="left" wrapText="1"/>
    </xf>
    <xf numFmtId="0" fontId="40" fillId="0" borderId="0" xfId="0" applyFont="1" applyAlignment="1">
      <alignment wrapText="1"/>
    </xf>
    <xf numFmtId="0" fontId="0" fillId="0" borderId="0" xfId="0" applyAlignment="1">
      <alignment wrapText="1"/>
    </xf>
    <xf numFmtId="165" fontId="32" fillId="0" borderId="5" xfId="2" applyNumberFormat="1" applyFont="1" applyBorder="1" applyAlignment="1" applyProtection="1">
      <alignment horizontal="center" vertical="center" wrapText="1"/>
      <protection locked="0" hidden="1"/>
    </xf>
    <xf numFmtId="0" fontId="32" fillId="13" borderId="6" xfId="2" applyFont="1" applyFill="1" applyBorder="1" applyAlignment="1" applyProtection="1">
      <alignment horizontal="center" vertical="center" wrapText="1"/>
      <protection locked="0" hidden="1"/>
    </xf>
    <xf numFmtId="0" fontId="32" fillId="13" borderId="5" xfId="2" applyFont="1" applyFill="1" applyBorder="1" applyAlignment="1" applyProtection="1">
      <alignment vertical="center" wrapText="1"/>
      <protection locked="0"/>
    </xf>
    <xf numFmtId="0" fontId="32" fillId="13" borderId="5" xfId="2" applyFont="1" applyFill="1" applyBorder="1" applyAlignment="1" applyProtection="1">
      <alignment horizontal="center" vertical="center" wrapText="1"/>
      <protection hidden="1"/>
    </xf>
    <xf numFmtId="165" fontId="32" fillId="13" borderId="5" xfId="2" applyNumberFormat="1" applyFont="1" applyFill="1" applyBorder="1" applyAlignment="1" applyProtection="1">
      <alignment horizontal="center" vertical="center" wrapText="1"/>
      <protection locked="0" hidden="1"/>
    </xf>
    <xf numFmtId="42" fontId="32" fillId="13" borderId="5" xfId="1" applyFont="1" applyFill="1" applyBorder="1" applyAlignment="1" applyProtection="1">
      <alignment horizontal="right" vertical="center" wrapText="1"/>
      <protection locked="0" hidden="1"/>
    </xf>
    <xf numFmtId="0" fontId="32" fillId="13" borderId="5" xfId="2" applyFont="1" applyFill="1" applyBorder="1" applyAlignment="1" applyProtection="1">
      <alignment vertical="center" wrapText="1"/>
      <protection hidden="1"/>
    </xf>
    <xf numFmtId="0" fontId="34" fillId="13" borderId="0" xfId="0" applyFont="1" applyFill="1"/>
    <xf numFmtId="165" fontId="34" fillId="13" borderId="0" xfId="0" applyNumberFormat="1" applyFont="1" applyFill="1"/>
    <xf numFmtId="165" fontId="0" fillId="13" borderId="0" xfId="0" applyNumberFormat="1" applyFill="1"/>
    <xf numFmtId="0" fontId="34" fillId="13" borderId="0" xfId="0" applyFont="1" applyFill="1" applyAlignment="1">
      <alignment vertical="center"/>
    </xf>
    <xf numFmtId="165" fontId="34" fillId="13" borderId="0" xfId="0" applyNumberFormat="1" applyFont="1" applyFill="1" applyAlignment="1">
      <alignment vertical="center"/>
    </xf>
    <xf numFmtId="42" fontId="33" fillId="13" borderId="27" xfId="1" applyFont="1" applyFill="1" applyBorder="1" applyAlignment="1" applyProtection="1">
      <alignment horizontal="center" vertical="center"/>
      <protection locked="0"/>
    </xf>
    <xf numFmtId="42" fontId="39" fillId="0" borderId="5" xfId="1" applyFont="1" applyBorder="1" applyAlignment="1">
      <alignment vertical="center"/>
    </xf>
    <xf numFmtId="0" fontId="45" fillId="16" borderId="33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45" fillId="16" borderId="38" xfId="0" applyFont="1" applyFill="1" applyBorder="1" applyAlignment="1">
      <alignment horizontal="center" vertical="center" wrapText="1"/>
    </xf>
    <xf numFmtId="0" fontId="45" fillId="16" borderId="39" xfId="0" applyFont="1" applyFill="1" applyBorder="1" applyAlignment="1">
      <alignment horizontal="center" vertical="center" wrapText="1"/>
    </xf>
    <xf numFmtId="0" fontId="45" fillId="16" borderId="40" xfId="0" applyFont="1" applyFill="1" applyBorder="1" applyAlignment="1">
      <alignment horizontal="center" vertical="center" wrapText="1"/>
    </xf>
    <xf numFmtId="0" fontId="45" fillId="16" borderId="41" xfId="0" applyFont="1" applyFill="1" applyBorder="1" applyAlignment="1">
      <alignment horizontal="center" vertical="center" wrapText="1"/>
    </xf>
    <xf numFmtId="0" fontId="45" fillId="16" borderId="42" xfId="0" applyFont="1" applyFill="1" applyBorder="1" applyAlignment="1">
      <alignment horizontal="center" vertical="center" wrapText="1"/>
    </xf>
    <xf numFmtId="0" fontId="46" fillId="14" borderId="38" xfId="0" applyFont="1" applyFill="1" applyBorder="1" applyAlignment="1">
      <alignment vertical="center" wrapText="1"/>
    </xf>
    <xf numFmtId="0" fontId="49" fillId="15" borderId="38" xfId="0" applyFont="1" applyFill="1" applyBorder="1" applyAlignment="1">
      <alignment vertical="center" wrapText="1"/>
    </xf>
    <xf numFmtId="0" fontId="47" fillId="16" borderId="38" xfId="0" applyFont="1" applyFill="1" applyBorder="1" applyAlignment="1">
      <alignment vertical="center" wrapText="1"/>
    </xf>
    <xf numFmtId="0" fontId="49" fillId="16" borderId="38" xfId="0" applyFont="1" applyFill="1" applyBorder="1" applyAlignment="1">
      <alignment vertical="center" wrapText="1"/>
    </xf>
    <xf numFmtId="0" fontId="49" fillId="17" borderId="40" xfId="0" applyFont="1" applyFill="1" applyBorder="1" applyAlignment="1">
      <alignment vertical="center" wrapText="1"/>
    </xf>
    <xf numFmtId="0" fontId="50" fillId="0" borderId="0" xfId="0" applyFont="1" applyAlignment="1">
      <alignment wrapText="1"/>
    </xf>
    <xf numFmtId="0" fontId="51" fillId="14" borderId="39" xfId="0" applyFont="1" applyFill="1" applyBorder="1" applyAlignment="1">
      <alignment horizontal="center" vertical="center" wrapText="1"/>
    </xf>
    <xf numFmtId="0" fontId="52" fillId="15" borderId="39" xfId="0" applyFont="1" applyFill="1" applyBorder="1" applyAlignment="1">
      <alignment horizontal="center" vertical="center" wrapText="1"/>
    </xf>
    <xf numFmtId="0" fontId="53" fillId="16" borderId="39" xfId="0" applyFont="1" applyFill="1" applyBorder="1" applyAlignment="1">
      <alignment horizontal="center" vertical="center" wrapText="1"/>
    </xf>
    <xf numFmtId="0" fontId="52" fillId="16" borderId="39" xfId="0" applyFont="1" applyFill="1" applyBorder="1" applyAlignment="1">
      <alignment horizontal="center" vertical="center" wrapText="1"/>
    </xf>
    <xf numFmtId="0" fontId="52" fillId="17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5" fillId="18" borderId="43" xfId="0" applyFont="1" applyFill="1" applyBorder="1" applyAlignment="1">
      <alignment horizontal="center" vertical="center" wrapText="1"/>
    </xf>
    <xf numFmtId="0" fontId="45" fillId="18" borderId="44" xfId="0" applyFont="1" applyFill="1" applyBorder="1" applyAlignment="1">
      <alignment horizontal="center" vertical="center" wrapText="1"/>
    </xf>
    <xf numFmtId="0" fontId="45" fillId="18" borderId="45" xfId="0" applyFont="1" applyFill="1" applyBorder="1" applyAlignment="1">
      <alignment horizontal="center" vertical="center" wrapText="1"/>
    </xf>
    <xf numFmtId="0" fontId="45" fillId="19" borderId="38" xfId="0" applyFont="1" applyFill="1" applyBorder="1" applyAlignment="1">
      <alignment horizontal="center" vertical="center" wrapText="1"/>
    </xf>
    <xf numFmtId="0" fontId="45" fillId="19" borderId="33" xfId="0" applyFont="1" applyFill="1" applyBorder="1" applyAlignment="1">
      <alignment horizontal="center" vertical="center" wrapText="1"/>
    </xf>
    <xf numFmtId="0" fontId="45" fillId="19" borderId="52" xfId="0" applyFont="1" applyFill="1" applyBorder="1" applyAlignment="1">
      <alignment vertical="center" wrapText="1"/>
    </xf>
    <xf numFmtId="0" fontId="45" fillId="19" borderId="53" xfId="0" applyFont="1" applyFill="1" applyBorder="1" applyAlignment="1">
      <alignment vertical="center" wrapText="1"/>
    </xf>
    <xf numFmtId="0" fontId="45" fillId="19" borderId="39" xfId="0" applyFont="1" applyFill="1" applyBorder="1" applyAlignment="1">
      <alignment horizontal="center" vertical="center" wrapText="1"/>
    </xf>
    <xf numFmtId="0" fontId="49" fillId="11" borderId="38" xfId="0" applyFont="1" applyFill="1" applyBorder="1" applyAlignment="1">
      <alignment vertical="center" wrapText="1"/>
    </xf>
    <xf numFmtId="0" fontId="52" fillId="11" borderId="39" xfId="0" applyFont="1" applyFill="1" applyBorder="1" applyAlignment="1">
      <alignment horizontal="center" vertical="center" wrapText="1"/>
    </xf>
    <xf numFmtId="0" fontId="45" fillId="11" borderId="38" xfId="0" applyFont="1" applyFill="1" applyBorder="1" applyAlignment="1">
      <alignment horizontal="center" vertical="center" wrapText="1"/>
    </xf>
    <xf numFmtId="0" fontId="45" fillId="11" borderId="33" xfId="0" applyFont="1" applyFill="1" applyBorder="1" applyAlignment="1">
      <alignment horizontal="center" vertical="center" wrapText="1"/>
    </xf>
    <xf numFmtId="0" fontId="45" fillId="11" borderId="39" xfId="0" applyFont="1" applyFill="1" applyBorder="1" applyAlignment="1">
      <alignment horizontal="center" vertical="center" wrapText="1"/>
    </xf>
    <xf numFmtId="0" fontId="0" fillId="11" borderId="0" xfId="0" applyFill="1" applyAlignment="1">
      <alignment wrapText="1"/>
    </xf>
    <xf numFmtId="170" fontId="34" fillId="0" borderId="0" xfId="0" applyNumberFormat="1" applyFont="1" applyAlignment="1">
      <alignment vertical="center" wrapText="1"/>
    </xf>
    <xf numFmtId="2" fontId="31" fillId="11" borderId="7" xfId="2" applyNumberFormat="1" applyFont="1" applyFill="1" applyBorder="1" applyAlignment="1">
      <alignment horizontal="center" vertical="center" wrapText="1"/>
    </xf>
    <xf numFmtId="2" fontId="31" fillId="11" borderId="8" xfId="2" applyNumberFormat="1" applyFont="1" applyFill="1" applyBorder="1" applyAlignment="1">
      <alignment horizontal="center" vertical="center" wrapText="1"/>
    </xf>
    <xf numFmtId="2" fontId="31" fillId="11" borderId="14" xfId="2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2" fontId="0" fillId="0" borderId="5" xfId="0" applyNumberFormat="1" applyBorder="1" applyAlignment="1">
      <alignment horizontal="center"/>
    </xf>
    <xf numFmtId="0" fontId="34" fillId="0" borderId="5" xfId="0" applyFont="1" applyBorder="1" applyAlignment="1">
      <alignment horizontal="right"/>
    </xf>
    <xf numFmtId="164" fontId="34" fillId="0" borderId="5" xfId="0" applyNumberFormat="1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2" fontId="32" fillId="13" borderId="26" xfId="1" applyFont="1" applyFill="1" applyBorder="1" applyAlignment="1" applyProtection="1">
      <alignment horizontal="center" vertical="center"/>
      <protection locked="0"/>
    </xf>
    <xf numFmtId="42" fontId="32" fillId="13" borderId="22" xfId="1" applyFont="1" applyFill="1" applyBorder="1" applyAlignment="1" applyProtection="1">
      <alignment horizontal="center" vertical="center"/>
      <protection locked="0"/>
    </xf>
    <xf numFmtId="42" fontId="32" fillId="13" borderId="32" xfId="1" applyFont="1" applyFill="1" applyBorder="1" applyAlignment="1" applyProtection="1">
      <alignment horizontal="center" vertical="center"/>
      <protection locked="0"/>
    </xf>
    <xf numFmtId="42" fontId="32" fillId="4" borderId="26" xfId="1" applyFont="1" applyFill="1" applyBorder="1" applyAlignment="1" applyProtection="1">
      <alignment horizontal="center" vertical="center"/>
      <protection locked="0"/>
    </xf>
    <xf numFmtId="42" fontId="32" fillId="4" borderId="22" xfId="1" applyFont="1" applyFill="1" applyBorder="1" applyAlignment="1" applyProtection="1">
      <alignment horizontal="center" vertical="center"/>
      <protection locked="0"/>
    </xf>
    <xf numFmtId="42" fontId="32" fillId="4" borderId="32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right" vertical="center" wrapText="1"/>
    </xf>
    <xf numFmtId="0" fontId="19" fillId="8" borderId="17" xfId="0" applyFont="1" applyFill="1" applyBorder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2" fontId="20" fillId="0" borderId="0" xfId="0" applyNumberFormat="1" applyFont="1" applyAlignment="1">
      <alignment horizontal="center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  <xf numFmtId="2" fontId="24" fillId="0" borderId="0" xfId="0" applyNumberFormat="1" applyFont="1" applyAlignment="1">
      <alignment horizontal="left" vertical="center" wrapText="1"/>
    </xf>
    <xf numFmtId="2" fontId="24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2" fontId="28" fillId="0" borderId="0" xfId="0" applyNumberFormat="1" applyFont="1" applyAlignment="1">
      <alignment horizontal="center" vertical="center" wrapText="1"/>
    </xf>
    <xf numFmtId="0" fontId="28" fillId="0" borderId="16" xfId="0" applyFont="1" applyBorder="1" applyAlignment="1">
      <alignment horizontal="right" vertical="center" wrapText="1"/>
    </xf>
    <xf numFmtId="0" fontId="28" fillId="0" borderId="17" xfId="0" applyFont="1" applyBorder="1" applyAlignment="1">
      <alignment horizontal="right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right" vertical="center" wrapText="1"/>
    </xf>
    <xf numFmtId="0" fontId="28" fillId="0" borderId="20" xfId="0" applyFont="1" applyBorder="1" applyAlignment="1">
      <alignment horizontal="right" vertical="center" wrapText="1"/>
    </xf>
    <xf numFmtId="0" fontId="28" fillId="0" borderId="11" xfId="0" applyFont="1" applyBorder="1" applyAlignment="1">
      <alignment horizontal="righ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 wrapText="1"/>
    </xf>
    <xf numFmtId="0" fontId="25" fillId="0" borderId="8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5" fillId="19" borderId="51" xfId="0" applyFont="1" applyFill="1" applyBorder="1" applyAlignment="1">
      <alignment horizontal="center" vertical="center" wrapText="1"/>
    </xf>
    <xf numFmtId="0" fontId="45" fillId="19" borderId="52" xfId="0" applyFont="1" applyFill="1" applyBorder="1" applyAlignment="1">
      <alignment horizontal="center" vertical="center" wrapText="1"/>
    </xf>
    <xf numFmtId="0" fontId="45" fillId="19" borderId="53" xfId="0" applyFont="1" applyFill="1" applyBorder="1" applyAlignment="1">
      <alignment horizontal="center" vertical="center" wrapText="1"/>
    </xf>
    <xf numFmtId="0" fontId="54" fillId="19" borderId="54" xfId="0" applyFont="1" applyFill="1" applyBorder="1" applyAlignment="1">
      <alignment horizontal="center" vertical="center" wrapText="1"/>
    </xf>
    <xf numFmtId="0" fontId="54" fillId="19" borderId="53" xfId="0" applyFont="1" applyFill="1" applyBorder="1" applyAlignment="1">
      <alignment horizontal="center" vertical="center" wrapText="1"/>
    </xf>
    <xf numFmtId="0" fontId="44" fillId="14" borderId="49" xfId="0" applyFont="1" applyFill="1" applyBorder="1" applyAlignment="1">
      <alignment horizontal="center" vertical="center" wrapText="1"/>
    </xf>
    <xf numFmtId="0" fontId="44" fillId="14" borderId="47" xfId="0" applyFont="1" applyFill="1" applyBorder="1" applyAlignment="1">
      <alignment horizontal="center" vertical="center" wrapText="1"/>
    </xf>
    <xf numFmtId="0" fontId="44" fillId="14" borderId="48" xfId="0" applyFont="1" applyFill="1" applyBorder="1" applyAlignment="1">
      <alignment horizontal="center" vertical="center" wrapText="1"/>
    </xf>
    <xf numFmtId="0" fontId="44" fillId="14" borderId="50" xfId="0" applyFont="1" applyFill="1" applyBorder="1" applyAlignment="1">
      <alignment horizontal="center" vertical="center" wrapText="1"/>
    </xf>
    <xf numFmtId="0" fontId="44" fillId="14" borderId="46" xfId="0" applyFont="1" applyFill="1" applyBorder="1" applyAlignment="1">
      <alignment horizontal="center" vertical="center" wrapText="1"/>
    </xf>
    <xf numFmtId="0" fontId="45" fillId="19" borderId="54" xfId="0" applyFont="1" applyFill="1" applyBorder="1" applyAlignment="1">
      <alignment horizontal="center" vertical="center" wrapText="1"/>
    </xf>
    <xf numFmtId="0" fontId="55" fillId="19" borderId="54" xfId="0" applyFont="1" applyFill="1" applyBorder="1" applyAlignment="1">
      <alignment horizontal="center" vertical="center" wrapText="1"/>
    </xf>
    <xf numFmtId="0" fontId="55" fillId="19" borderId="53" xfId="0" applyFont="1" applyFill="1" applyBorder="1" applyAlignment="1">
      <alignment horizontal="center" vertical="center" wrapText="1"/>
    </xf>
    <xf numFmtId="0" fontId="55" fillId="19" borderId="52" xfId="0" applyFont="1" applyFill="1" applyBorder="1" applyAlignment="1">
      <alignment horizontal="center" vertical="center" wrapText="1"/>
    </xf>
    <xf numFmtId="0" fontId="45" fillId="19" borderId="55" xfId="0" applyFont="1" applyFill="1" applyBorder="1" applyAlignment="1">
      <alignment horizontal="center" vertical="center" wrapText="1"/>
    </xf>
    <xf numFmtId="0" fontId="0" fillId="19" borderId="0" xfId="0" applyFill="1" applyAlignment="1">
      <alignment horizontal="center" wrapText="1"/>
    </xf>
    <xf numFmtId="0" fontId="0" fillId="19" borderId="57" xfId="0" applyFill="1" applyBorder="1" applyAlignment="1">
      <alignment horizontal="center" wrapText="1"/>
    </xf>
    <xf numFmtId="0" fontId="0" fillId="19" borderId="56" xfId="0" applyFill="1" applyBorder="1" applyAlignment="1">
      <alignment horizontal="center" wrapText="1"/>
    </xf>
  </cellXfs>
  <cellStyles count="7">
    <cellStyle name="Excel Built-in Hyperlink 1" xfId="3" xr:uid="{00000000-0005-0000-0000-000000000000}"/>
    <cellStyle name="Excel Built-in Percent 1" xfId="4" xr:uid="{00000000-0005-0000-0000-000001000000}"/>
    <cellStyle name="Moneda [0]" xfId="1" builtinId="7"/>
    <cellStyle name="Moneda [0] 2" xfId="5" xr:uid="{00000000-0005-0000-0000-000004000000}"/>
    <cellStyle name="Normal" xfId="0" builtinId="0"/>
    <cellStyle name="Normal 2 2" xfId="2" xr:uid="{00000000-0005-0000-0000-000006000000}"/>
    <cellStyle name="Porcentaje" xfId="6" builtinId="5"/>
  </cellStyles>
  <dxfs count="8">
    <dxf>
      <font>
        <b val="0"/>
        <condense val="0"/>
        <extend val="0"/>
        <color indexed="12"/>
      </font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8"/>
      </font>
      <fill>
        <patternFill patternType="solid">
          <fgColor indexed="9"/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181429</xdr:colOff>
      <xdr:row>0</xdr:row>
      <xdr:rowOff>235858</xdr:rowOff>
    </xdr:from>
    <xdr:to>
      <xdr:col>1</xdr:col>
      <xdr:colOff>2092779</xdr:colOff>
      <xdr:row>0</xdr:row>
      <xdr:rowOff>1104538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86" b="23431"/>
        <a:stretch/>
      </xdr:blipFill>
      <xdr:spPr bwMode="auto">
        <a:xfrm>
          <a:off x="181429" y="235858"/>
          <a:ext cx="1911350" cy="868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9"/>
  <sheetViews>
    <sheetView zoomScale="85" zoomScaleNormal="85" workbookViewId="0">
      <selection activeCell="B5" sqref="B5"/>
    </sheetView>
  </sheetViews>
  <sheetFormatPr baseColWidth="10" defaultRowHeight="15" x14ac:dyDescent="0.2"/>
  <cols>
    <col min="1" max="1" width="8.1640625" style="11" customWidth="1"/>
    <col min="2" max="2" width="59.6640625" style="109" customWidth="1"/>
    <col min="3" max="3" width="11.6640625" style="11" customWidth="1"/>
    <col min="4" max="4" width="11.5" style="112" customWidth="1"/>
    <col min="5" max="5" width="13.83203125" style="118" customWidth="1"/>
    <col min="6" max="6" width="27.5" style="118" customWidth="1"/>
    <col min="7" max="7" width="12.5" bestFit="1" customWidth="1"/>
    <col min="9" max="12" width="15.33203125" customWidth="1"/>
    <col min="13" max="13" width="17.5" customWidth="1"/>
    <col min="14" max="14" width="11.5" customWidth="1"/>
    <col min="244" max="244" width="8.1640625" customWidth="1"/>
    <col min="245" max="245" width="55.5" customWidth="1"/>
    <col min="246" max="246" width="8.5" customWidth="1"/>
    <col min="247" max="247" width="11.5" customWidth="1"/>
    <col min="248" max="248" width="13.83203125" customWidth="1"/>
    <col min="249" max="249" width="11.5" customWidth="1"/>
    <col min="250" max="250" width="11.83203125" bestFit="1" customWidth="1"/>
    <col min="251" max="251" width="17" customWidth="1"/>
    <col min="252" max="262" width="0" hidden="1" customWidth="1"/>
    <col min="500" max="500" width="8.1640625" customWidth="1"/>
    <col min="501" max="501" width="55.5" customWidth="1"/>
    <col min="502" max="502" width="8.5" customWidth="1"/>
    <col min="503" max="503" width="11.5" customWidth="1"/>
    <col min="504" max="504" width="13.83203125" customWidth="1"/>
    <col min="505" max="505" width="11.5" customWidth="1"/>
    <col min="506" max="506" width="11.83203125" bestFit="1" customWidth="1"/>
    <col min="507" max="507" width="17" customWidth="1"/>
    <col min="508" max="518" width="0" hidden="1" customWidth="1"/>
    <col min="756" max="756" width="8.1640625" customWidth="1"/>
    <col min="757" max="757" width="55.5" customWidth="1"/>
    <col min="758" max="758" width="8.5" customWidth="1"/>
    <col min="759" max="759" width="11.5" customWidth="1"/>
    <col min="760" max="760" width="13.83203125" customWidth="1"/>
    <col min="761" max="761" width="11.5" customWidth="1"/>
    <col min="762" max="762" width="11.83203125" bestFit="1" customWidth="1"/>
    <col min="763" max="763" width="17" customWidth="1"/>
    <col min="764" max="774" width="0" hidden="1" customWidth="1"/>
    <col min="1012" max="1012" width="8.1640625" customWidth="1"/>
    <col min="1013" max="1013" width="55.5" customWidth="1"/>
    <col min="1014" max="1014" width="8.5" customWidth="1"/>
    <col min="1015" max="1015" width="11.5" customWidth="1"/>
    <col min="1016" max="1016" width="13.83203125" customWidth="1"/>
    <col min="1017" max="1017" width="11.5" customWidth="1"/>
    <col min="1018" max="1018" width="11.83203125" bestFit="1" customWidth="1"/>
    <col min="1019" max="1019" width="17" customWidth="1"/>
    <col min="1020" max="1030" width="0" hidden="1" customWidth="1"/>
    <col min="1268" max="1268" width="8.1640625" customWidth="1"/>
    <col min="1269" max="1269" width="55.5" customWidth="1"/>
    <col min="1270" max="1270" width="8.5" customWidth="1"/>
    <col min="1271" max="1271" width="11.5" customWidth="1"/>
    <col min="1272" max="1272" width="13.83203125" customWidth="1"/>
    <col min="1273" max="1273" width="11.5" customWidth="1"/>
    <col min="1274" max="1274" width="11.83203125" bestFit="1" customWidth="1"/>
    <col min="1275" max="1275" width="17" customWidth="1"/>
    <col min="1276" max="1286" width="0" hidden="1" customWidth="1"/>
    <col min="1524" max="1524" width="8.1640625" customWidth="1"/>
    <col min="1525" max="1525" width="55.5" customWidth="1"/>
    <col min="1526" max="1526" width="8.5" customWidth="1"/>
    <col min="1527" max="1527" width="11.5" customWidth="1"/>
    <col min="1528" max="1528" width="13.83203125" customWidth="1"/>
    <col min="1529" max="1529" width="11.5" customWidth="1"/>
    <col min="1530" max="1530" width="11.83203125" bestFit="1" customWidth="1"/>
    <col min="1531" max="1531" width="17" customWidth="1"/>
    <col min="1532" max="1542" width="0" hidden="1" customWidth="1"/>
    <col min="1780" max="1780" width="8.1640625" customWidth="1"/>
    <col min="1781" max="1781" width="55.5" customWidth="1"/>
    <col min="1782" max="1782" width="8.5" customWidth="1"/>
    <col min="1783" max="1783" width="11.5" customWidth="1"/>
    <col min="1784" max="1784" width="13.83203125" customWidth="1"/>
    <col min="1785" max="1785" width="11.5" customWidth="1"/>
    <col min="1786" max="1786" width="11.83203125" bestFit="1" customWidth="1"/>
    <col min="1787" max="1787" width="17" customWidth="1"/>
    <col min="1788" max="1798" width="0" hidden="1" customWidth="1"/>
    <col min="2036" max="2036" width="8.1640625" customWidth="1"/>
    <col min="2037" max="2037" width="55.5" customWidth="1"/>
    <col min="2038" max="2038" width="8.5" customWidth="1"/>
    <col min="2039" max="2039" width="11.5" customWidth="1"/>
    <col min="2040" max="2040" width="13.83203125" customWidth="1"/>
    <col min="2041" max="2041" width="11.5" customWidth="1"/>
    <col min="2042" max="2042" width="11.83203125" bestFit="1" customWidth="1"/>
    <col min="2043" max="2043" width="17" customWidth="1"/>
    <col min="2044" max="2054" width="0" hidden="1" customWidth="1"/>
    <col min="2292" max="2292" width="8.1640625" customWidth="1"/>
    <col min="2293" max="2293" width="55.5" customWidth="1"/>
    <col min="2294" max="2294" width="8.5" customWidth="1"/>
    <col min="2295" max="2295" width="11.5" customWidth="1"/>
    <col min="2296" max="2296" width="13.83203125" customWidth="1"/>
    <col min="2297" max="2297" width="11.5" customWidth="1"/>
    <col min="2298" max="2298" width="11.83203125" bestFit="1" customWidth="1"/>
    <col min="2299" max="2299" width="17" customWidth="1"/>
    <col min="2300" max="2310" width="0" hidden="1" customWidth="1"/>
    <col min="2548" max="2548" width="8.1640625" customWidth="1"/>
    <col min="2549" max="2549" width="55.5" customWidth="1"/>
    <col min="2550" max="2550" width="8.5" customWidth="1"/>
    <col min="2551" max="2551" width="11.5" customWidth="1"/>
    <col min="2552" max="2552" width="13.83203125" customWidth="1"/>
    <col min="2553" max="2553" width="11.5" customWidth="1"/>
    <col min="2554" max="2554" width="11.83203125" bestFit="1" customWidth="1"/>
    <col min="2555" max="2555" width="17" customWidth="1"/>
    <col min="2556" max="2566" width="0" hidden="1" customWidth="1"/>
    <col min="2804" max="2804" width="8.1640625" customWidth="1"/>
    <col min="2805" max="2805" width="55.5" customWidth="1"/>
    <col min="2806" max="2806" width="8.5" customWidth="1"/>
    <col min="2807" max="2807" width="11.5" customWidth="1"/>
    <col min="2808" max="2808" width="13.83203125" customWidth="1"/>
    <col min="2809" max="2809" width="11.5" customWidth="1"/>
    <col min="2810" max="2810" width="11.83203125" bestFit="1" customWidth="1"/>
    <col min="2811" max="2811" width="17" customWidth="1"/>
    <col min="2812" max="2822" width="0" hidden="1" customWidth="1"/>
    <col min="3060" max="3060" width="8.1640625" customWidth="1"/>
    <col min="3061" max="3061" width="55.5" customWidth="1"/>
    <col min="3062" max="3062" width="8.5" customWidth="1"/>
    <col min="3063" max="3063" width="11.5" customWidth="1"/>
    <col min="3064" max="3064" width="13.83203125" customWidth="1"/>
    <col min="3065" max="3065" width="11.5" customWidth="1"/>
    <col min="3066" max="3066" width="11.83203125" bestFit="1" customWidth="1"/>
    <col min="3067" max="3067" width="17" customWidth="1"/>
    <col min="3068" max="3078" width="0" hidden="1" customWidth="1"/>
    <col min="3316" max="3316" width="8.1640625" customWidth="1"/>
    <col min="3317" max="3317" width="55.5" customWidth="1"/>
    <col min="3318" max="3318" width="8.5" customWidth="1"/>
    <col min="3319" max="3319" width="11.5" customWidth="1"/>
    <col min="3320" max="3320" width="13.83203125" customWidth="1"/>
    <col min="3321" max="3321" width="11.5" customWidth="1"/>
    <col min="3322" max="3322" width="11.83203125" bestFit="1" customWidth="1"/>
    <col min="3323" max="3323" width="17" customWidth="1"/>
    <col min="3324" max="3334" width="0" hidden="1" customWidth="1"/>
    <col min="3572" max="3572" width="8.1640625" customWidth="1"/>
    <col min="3573" max="3573" width="55.5" customWidth="1"/>
    <col min="3574" max="3574" width="8.5" customWidth="1"/>
    <col min="3575" max="3575" width="11.5" customWidth="1"/>
    <col min="3576" max="3576" width="13.83203125" customWidth="1"/>
    <col min="3577" max="3577" width="11.5" customWidth="1"/>
    <col min="3578" max="3578" width="11.83203125" bestFit="1" customWidth="1"/>
    <col min="3579" max="3579" width="17" customWidth="1"/>
    <col min="3580" max="3590" width="0" hidden="1" customWidth="1"/>
    <col min="3828" max="3828" width="8.1640625" customWidth="1"/>
    <col min="3829" max="3829" width="55.5" customWidth="1"/>
    <col min="3830" max="3830" width="8.5" customWidth="1"/>
    <col min="3831" max="3831" width="11.5" customWidth="1"/>
    <col min="3832" max="3832" width="13.83203125" customWidth="1"/>
    <col min="3833" max="3833" width="11.5" customWidth="1"/>
    <col min="3834" max="3834" width="11.83203125" bestFit="1" customWidth="1"/>
    <col min="3835" max="3835" width="17" customWidth="1"/>
    <col min="3836" max="3846" width="0" hidden="1" customWidth="1"/>
    <col min="4084" max="4084" width="8.1640625" customWidth="1"/>
    <col min="4085" max="4085" width="55.5" customWidth="1"/>
    <col min="4086" max="4086" width="8.5" customWidth="1"/>
    <col min="4087" max="4087" width="11.5" customWidth="1"/>
    <col min="4088" max="4088" width="13.83203125" customWidth="1"/>
    <col min="4089" max="4089" width="11.5" customWidth="1"/>
    <col min="4090" max="4090" width="11.83203125" bestFit="1" customWidth="1"/>
    <col min="4091" max="4091" width="17" customWidth="1"/>
    <col min="4092" max="4102" width="0" hidden="1" customWidth="1"/>
    <col min="4340" max="4340" width="8.1640625" customWidth="1"/>
    <col min="4341" max="4341" width="55.5" customWidth="1"/>
    <col min="4342" max="4342" width="8.5" customWidth="1"/>
    <col min="4343" max="4343" width="11.5" customWidth="1"/>
    <col min="4344" max="4344" width="13.83203125" customWidth="1"/>
    <col min="4345" max="4345" width="11.5" customWidth="1"/>
    <col min="4346" max="4346" width="11.83203125" bestFit="1" customWidth="1"/>
    <col min="4347" max="4347" width="17" customWidth="1"/>
    <col min="4348" max="4358" width="0" hidden="1" customWidth="1"/>
    <col min="4596" max="4596" width="8.1640625" customWidth="1"/>
    <col min="4597" max="4597" width="55.5" customWidth="1"/>
    <col min="4598" max="4598" width="8.5" customWidth="1"/>
    <col min="4599" max="4599" width="11.5" customWidth="1"/>
    <col min="4600" max="4600" width="13.83203125" customWidth="1"/>
    <col min="4601" max="4601" width="11.5" customWidth="1"/>
    <col min="4602" max="4602" width="11.83203125" bestFit="1" customWidth="1"/>
    <col min="4603" max="4603" width="17" customWidth="1"/>
    <col min="4604" max="4614" width="0" hidden="1" customWidth="1"/>
    <col min="4852" max="4852" width="8.1640625" customWidth="1"/>
    <col min="4853" max="4853" width="55.5" customWidth="1"/>
    <col min="4854" max="4854" width="8.5" customWidth="1"/>
    <col min="4855" max="4855" width="11.5" customWidth="1"/>
    <col min="4856" max="4856" width="13.83203125" customWidth="1"/>
    <col min="4857" max="4857" width="11.5" customWidth="1"/>
    <col min="4858" max="4858" width="11.83203125" bestFit="1" customWidth="1"/>
    <col min="4859" max="4859" width="17" customWidth="1"/>
    <col min="4860" max="4870" width="0" hidden="1" customWidth="1"/>
    <col min="5108" max="5108" width="8.1640625" customWidth="1"/>
    <col min="5109" max="5109" width="55.5" customWidth="1"/>
    <col min="5110" max="5110" width="8.5" customWidth="1"/>
    <col min="5111" max="5111" width="11.5" customWidth="1"/>
    <col min="5112" max="5112" width="13.83203125" customWidth="1"/>
    <col min="5113" max="5113" width="11.5" customWidth="1"/>
    <col min="5114" max="5114" width="11.83203125" bestFit="1" customWidth="1"/>
    <col min="5115" max="5115" width="17" customWidth="1"/>
    <col min="5116" max="5126" width="0" hidden="1" customWidth="1"/>
    <col min="5364" max="5364" width="8.1640625" customWidth="1"/>
    <col min="5365" max="5365" width="55.5" customWidth="1"/>
    <col min="5366" max="5366" width="8.5" customWidth="1"/>
    <col min="5367" max="5367" width="11.5" customWidth="1"/>
    <col min="5368" max="5368" width="13.83203125" customWidth="1"/>
    <col min="5369" max="5369" width="11.5" customWidth="1"/>
    <col min="5370" max="5370" width="11.83203125" bestFit="1" customWidth="1"/>
    <col min="5371" max="5371" width="17" customWidth="1"/>
    <col min="5372" max="5382" width="0" hidden="1" customWidth="1"/>
    <col min="5620" max="5620" width="8.1640625" customWidth="1"/>
    <col min="5621" max="5621" width="55.5" customWidth="1"/>
    <col min="5622" max="5622" width="8.5" customWidth="1"/>
    <col min="5623" max="5623" width="11.5" customWidth="1"/>
    <col min="5624" max="5624" width="13.83203125" customWidth="1"/>
    <col min="5625" max="5625" width="11.5" customWidth="1"/>
    <col min="5626" max="5626" width="11.83203125" bestFit="1" customWidth="1"/>
    <col min="5627" max="5627" width="17" customWidth="1"/>
    <col min="5628" max="5638" width="0" hidden="1" customWidth="1"/>
    <col min="5876" max="5876" width="8.1640625" customWidth="1"/>
    <col min="5877" max="5877" width="55.5" customWidth="1"/>
    <col min="5878" max="5878" width="8.5" customWidth="1"/>
    <col min="5879" max="5879" width="11.5" customWidth="1"/>
    <col min="5880" max="5880" width="13.83203125" customWidth="1"/>
    <col min="5881" max="5881" width="11.5" customWidth="1"/>
    <col min="5882" max="5882" width="11.83203125" bestFit="1" customWidth="1"/>
    <col min="5883" max="5883" width="17" customWidth="1"/>
    <col min="5884" max="5894" width="0" hidden="1" customWidth="1"/>
    <col min="6132" max="6132" width="8.1640625" customWidth="1"/>
    <col min="6133" max="6133" width="55.5" customWidth="1"/>
    <col min="6134" max="6134" width="8.5" customWidth="1"/>
    <col min="6135" max="6135" width="11.5" customWidth="1"/>
    <col min="6136" max="6136" width="13.83203125" customWidth="1"/>
    <col min="6137" max="6137" width="11.5" customWidth="1"/>
    <col min="6138" max="6138" width="11.83203125" bestFit="1" customWidth="1"/>
    <col min="6139" max="6139" width="17" customWidth="1"/>
    <col min="6140" max="6150" width="0" hidden="1" customWidth="1"/>
    <col min="6388" max="6388" width="8.1640625" customWidth="1"/>
    <col min="6389" max="6389" width="55.5" customWidth="1"/>
    <col min="6390" max="6390" width="8.5" customWidth="1"/>
    <col min="6391" max="6391" width="11.5" customWidth="1"/>
    <col min="6392" max="6392" width="13.83203125" customWidth="1"/>
    <col min="6393" max="6393" width="11.5" customWidth="1"/>
    <col min="6394" max="6394" width="11.83203125" bestFit="1" customWidth="1"/>
    <col min="6395" max="6395" width="17" customWidth="1"/>
    <col min="6396" max="6406" width="0" hidden="1" customWidth="1"/>
    <col min="6644" max="6644" width="8.1640625" customWidth="1"/>
    <col min="6645" max="6645" width="55.5" customWidth="1"/>
    <col min="6646" max="6646" width="8.5" customWidth="1"/>
    <col min="6647" max="6647" width="11.5" customWidth="1"/>
    <col min="6648" max="6648" width="13.83203125" customWidth="1"/>
    <col min="6649" max="6649" width="11.5" customWidth="1"/>
    <col min="6650" max="6650" width="11.83203125" bestFit="1" customWidth="1"/>
    <col min="6651" max="6651" width="17" customWidth="1"/>
    <col min="6652" max="6662" width="0" hidden="1" customWidth="1"/>
    <col min="6900" max="6900" width="8.1640625" customWidth="1"/>
    <col min="6901" max="6901" width="55.5" customWidth="1"/>
    <col min="6902" max="6902" width="8.5" customWidth="1"/>
    <col min="6903" max="6903" width="11.5" customWidth="1"/>
    <col min="6904" max="6904" width="13.83203125" customWidth="1"/>
    <col min="6905" max="6905" width="11.5" customWidth="1"/>
    <col min="6906" max="6906" width="11.83203125" bestFit="1" customWidth="1"/>
    <col min="6907" max="6907" width="17" customWidth="1"/>
    <col min="6908" max="6918" width="0" hidden="1" customWidth="1"/>
    <col min="7156" max="7156" width="8.1640625" customWidth="1"/>
    <col min="7157" max="7157" width="55.5" customWidth="1"/>
    <col min="7158" max="7158" width="8.5" customWidth="1"/>
    <col min="7159" max="7159" width="11.5" customWidth="1"/>
    <col min="7160" max="7160" width="13.83203125" customWidth="1"/>
    <col min="7161" max="7161" width="11.5" customWidth="1"/>
    <col min="7162" max="7162" width="11.83203125" bestFit="1" customWidth="1"/>
    <col min="7163" max="7163" width="17" customWidth="1"/>
    <col min="7164" max="7174" width="0" hidden="1" customWidth="1"/>
    <col min="7412" max="7412" width="8.1640625" customWidth="1"/>
    <col min="7413" max="7413" width="55.5" customWidth="1"/>
    <col min="7414" max="7414" width="8.5" customWidth="1"/>
    <col min="7415" max="7415" width="11.5" customWidth="1"/>
    <col min="7416" max="7416" width="13.83203125" customWidth="1"/>
    <col min="7417" max="7417" width="11.5" customWidth="1"/>
    <col min="7418" max="7418" width="11.83203125" bestFit="1" customWidth="1"/>
    <col min="7419" max="7419" width="17" customWidth="1"/>
    <col min="7420" max="7430" width="0" hidden="1" customWidth="1"/>
    <col min="7668" max="7668" width="8.1640625" customWidth="1"/>
    <col min="7669" max="7669" width="55.5" customWidth="1"/>
    <col min="7670" max="7670" width="8.5" customWidth="1"/>
    <col min="7671" max="7671" width="11.5" customWidth="1"/>
    <col min="7672" max="7672" width="13.83203125" customWidth="1"/>
    <col min="7673" max="7673" width="11.5" customWidth="1"/>
    <col min="7674" max="7674" width="11.83203125" bestFit="1" customWidth="1"/>
    <col min="7675" max="7675" width="17" customWidth="1"/>
    <col min="7676" max="7686" width="0" hidden="1" customWidth="1"/>
    <col min="7924" max="7924" width="8.1640625" customWidth="1"/>
    <col min="7925" max="7925" width="55.5" customWidth="1"/>
    <col min="7926" max="7926" width="8.5" customWidth="1"/>
    <col min="7927" max="7927" width="11.5" customWidth="1"/>
    <col min="7928" max="7928" width="13.83203125" customWidth="1"/>
    <col min="7929" max="7929" width="11.5" customWidth="1"/>
    <col min="7930" max="7930" width="11.83203125" bestFit="1" customWidth="1"/>
    <col min="7931" max="7931" width="17" customWidth="1"/>
    <col min="7932" max="7942" width="0" hidden="1" customWidth="1"/>
    <col min="8180" max="8180" width="8.1640625" customWidth="1"/>
    <col min="8181" max="8181" width="55.5" customWidth="1"/>
    <col min="8182" max="8182" width="8.5" customWidth="1"/>
    <col min="8183" max="8183" width="11.5" customWidth="1"/>
    <col min="8184" max="8184" width="13.83203125" customWidth="1"/>
    <col min="8185" max="8185" width="11.5" customWidth="1"/>
    <col min="8186" max="8186" width="11.83203125" bestFit="1" customWidth="1"/>
    <col min="8187" max="8187" width="17" customWidth="1"/>
    <col min="8188" max="8198" width="0" hidden="1" customWidth="1"/>
    <col min="8436" max="8436" width="8.1640625" customWidth="1"/>
    <col min="8437" max="8437" width="55.5" customWidth="1"/>
    <col min="8438" max="8438" width="8.5" customWidth="1"/>
    <col min="8439" max="8439" width="11.5" customWidth="1"/>
    <col min="8440" max="8440" width="13.83203125" customWidth="1"/>
    <col min="8441" max="8441" width="11.5" customWidth="1"/>
    <col min="8442" max="8442" width="11.83203125" bestFit="1" customWidth="1"/>
    <col min="8443" max="8443" width="17" customWidth="1"/>
    <col min="8444" max="8454" width="0" hidden="1" customWidth="1"/>
    <col min="8692" max="8692" width="8.1640625" customWidth="1"/>
    <col min="8693" max="8693" width="55.5" customWidth="1"/>
    <col min="8694" max="8694" width="8.5" customWidth="1"/>
    <col min="8695" max="8695" width="11.5" customWidth="1"/>
    <col min="8696" max="8696" width="13.83203125" customWidth="1"/>
    <col min="8697" max="8697" width="11.5" customWidth="1"/>
    <col min="8698" max="8698" width="11.83203125" bestFit="1" customWidth="1"/>
    <col min="8699" max="8699" width="17" customWidth="1"/>
    <col min="8700" max="8710" width="0" hidden="1" customWidth="1"/>
    <col min="8948" max="8948" width="8.1640625" customWidth="1"/>
    <col min="8949" max="8949" width="55.5" customWidth="1"/>
    <col min="8950" max="8950" width="8.5" customWidth="1"/>
    <col min="8951" max="8951" width="11.5" customWidth="1"/>
    <col min="8952" max="8952" width="13.83203125" customWidth="1"/>
    <col min="8953" max="8953" width="11.5" customWidth="1"/>
    <col min="8954" max="8954" width="11.83203125" bestFit="1" customWidth="1"/>
    <col min="8955" max="8955" width="17" customWidth="1"/>
    <col min="8956" max="8966" width="0" hidden="1" customWidth="1"/>
    <col min="9204" max="9204" width="8.1640625" customWidth="1"/>
    <col min="9205" max="9205" width="55.5" customWidth="1"/>
    <col min="9206" max="9206" width="8.5" customWidth="1"/>
    <col min="9207" max="9207" width="11.5" customWidth="1"/>
    <col min="9208" max="9208" width="13.83203125" customWidth="1"/>
    <col min="9209" max="9209" width="11.5" customWidth="1"/>
    <col min="9210" max="9210" width="11.83203125" bestFit="1" customWidth="1"/>
    <col min="9211" max="9211" width="17" customWidth="1"/>
    <col min="9212" max="9222" width="0" hidden="1" customWidth="1"/>
    <col min="9460" max="9460" width="8.1640625" customWidth="1"/>
    <col min="9461" max="9461" width="55.5" customWidth="1"/>
    <col min="9462" max="9462" width="8.5" customWidth="1"/>
    <col min="9463" max="9463" width="11.5" customWidth="1"/>
    <col min="9464" max="9464" width="13.83203125" customWidth="1"/>
    <col min="9465" max="9465" width="11.5" customWidth="1"/>
    <col min="9466" max="9466" width="11.83203125" bestFit="1" customWidth="1"/>
    <col min="9467" max="9467" width="17" customWidth="1"/>
    <col min="9468" max="9478" width="0" hidden="1" customWidth="1"/>
    <col min="9716" max="9716" width="8.1640625" customWidth="1"/>
    <col min="9717" max="9717" width="55.5" customWidth="1"/>
    <col min="9718" max="9718" width="8.5" customWidth="1"/>
    <col min="9719" max="9719" width="11.5" customWidth="1"/>
    <col min="9720" max="9720" width="13.83203125" customWidth="1"/>
    <col min="9721" max="9721" width="11.5" customWidth="1"/>
    <col min="9722" max="9722" width="11.83203125" bestFit="1" customWidth="1"/>
    <col min="9723" max="9723" width="17" customWidth="1"/>
    <col min="9724" max="9734" width="0" hidden="1" customWidth="1"/>
    <col min="9972" max="9972" width="8.1640625" customWidth="1"/>
    <col min="9973" max="9973" width="55.5" customWidth="1"/>
    <col min="9974" max="9974" width="8.5" customWidth="1"/>
    <col min="9975" max="9975" width="11.5" customWidth="1"/>
    <col min="9976" max="9976" width="13.83203125" customWidth="1"/>
    <col min="9977" max="9977" width="11.5" customWidth="1"/>
    <col min="9978" max="9978" width="11.83203125" bestFit="1" customWidth="1"/>
    <col min="9979" max="9979" width="17" customWidth="1"/>
    <col min="9980" max="9990" width="0" hidden="1" customWidth="1"/>
    <col min="10228" max="10228" width="8.1640625" customWidth="1"/>
    <col min="10229" max="10229" width="55.5" customWidth="1"/>
    <col min="10230" max="10230" width="8.5" customWidth="1"/>
    <col min="10231" max="10231" width="11.5" customWidth="1"/>
    <col min="10232" max="10232" width="13.83203125" customWidth="1"/>
    <col min="10233" max="10233" width="11.5" customWidth="1"/>
    <col min="10234" max="10234" width="11.83203125" bestFit="1" customWidth="1"/>
    <col min="10235" max="10235" width="17" customWidth="1"/>
    <col min="10236" max="10246" width="0" hidden="1" customWidth="1"/>
    <col min="10484" max="10484" width="8.1640625" customWidth="1"/>
    <col min="10485" max="10485" width="55.5" customWidth="1"/>
    <col min="10486" max="10486" width="8.5" customWidth="1"/>
    <col min="10487" max="10487" width="11.5" customWidth="1"/>
    <col min="10488" max="10488" width="13.83203125" customWidth="1"/>
    <col min="10489" max="10489" width="11.5" customWidth="1"/>
    <col min="10490" max="10490" width="11.83203125" bestFit="1" customWidth="1"/>
    <col min="10491" max="10491" width="17" customWidth="1"/>
    <col min="10492" max="10502" width="0" hidden="1" customWidth="1"/>
    <col min="10740" max="10740" width="8.1640625" customWidth="1"/>
    <col min="10741" max="10741" width="55.5" customWidth="1"/>
    <col min="10742" max="10742" width="8.5" customWidth="1"/>
    <col min="10743" max="10743" width="11.5" customWidth="1"/>
    <col min="10744" max="10744" width="13.83203125" customWidth="1"/>
    <col min="10745" max="10745" width="11.5" customWidth="1"/>
    <col min="10746" max="10746" width="11.83203125" bestFit="1" customWidth="1"/>
    <col min="10747" max="10747" width="17" customWidth="1"/>
    <col min="10748" max="10758" width="0" hidden="1" customWidth="1"/>
    <col min="10996" max="10996" width="8.1640625" customWidth="1"/>
    <col min="10997" max="10997" width="55.5" customWidth="1"/>
    <col min="10998" max="10998" width="8.5" customWidth="1"/>
    <col min="10999" max="10999" width="11.5" customWidth="1"/>
    <col min="11000" max="11000" width="13.83203125" customWidth="1"/>
    <col min="11001" max="11001" width="11.5" customWidth="1"/>
    <col min="11002" max="11002" width="11.83203125" bestFit="1" customWidth="1"/>
    <col min="11003" max="11003" width="17" customWidth="1"/>
    <col min="11004" max="11014" width="0" hidden="1" customWidth="1"/>
    <col min="11252" max="11252" width="8.1640625" customWidth="1"/>
    <col min="11253" max="11253" width="55.5" customWidth="1"/>
    <col min="11254" max="11254" width="8.5" customWidth="1"/>
    <col min="11255" max="11255" width="11.5" customWidth="1"/>
    <col min="11256" max="11256" width="13.83203125" customWidth="1"/>
    <col min="11257" max="11257" width="11.5" customWidth="1"/>
    <col min="11258" max="11258" width="11.83203125" bestFit="1" customWidth="1"/>
    <col min="11259" max="11259" width="17" customWidth="1"/>
    <col min="11260" max="11270" width="0" hidden="1" customWidth="1"/>
    <col min="11508" max="11508" width="8.1640625" customWidth="1"/>
    <col min="11509" max="11509" width="55.5" customWidth="1"/>
    <col min="11510" max="11510" width="8.5" customWidth="1"/>
    <col min="11511" max="11511" width="11.5" customWidth="1"/>
    <col min="11512" max="11512" width="13.83203125" customWidth="1"/>
    <col min="11513" max="11513" width="11.5" customWidth="1"/>
    <col min="11514" max="11514" width="11.83203125" bestFit="1" customWidth="1"/>
    <col min="11515" max="11515" width="17" customWidth="1"/>
    <col min="11516" max="11526" width="0" hidden="1" customWidth="1"/>
    <col min="11764" max="11764" width="8.1640625" customWidth="1"/>
    <col min="11765" max="11765" width="55.5" customWidth="1"/>
    <col min="11766" max="11766" width="8.5" customWidth="1"/>
    <col min="11767" max="11767" width="11.5" customWidth="1"/>
    <col min="11768" max="11768" width="13.83203125" customWidth="1"/>
    <col min="11769" max="11769" width="11.5" customWidth="1"/>
    <col min="11770" max="11770" width="11.83203125" bestFit="1" customWidth="1"/>
    <col min="11771" max="11771" width="17" customWidth="1"/>
    <col min="11772" max="11782" width="0" hidden="1" customWidth="1"/>
    <col min="12020" max="12020" width="8.1640625" customWidth="1"/>
    <col min="12021" max="12021" width="55.5" customWidth="1"/>
    <col min="12022" max="12022" width="8.5" customWidth="1"/>
    <col min="12023" max="12023" width="11.5" customWidth="1"/>
    <col min="12024" max="12024" width="13.83203125" customWidth="1"/>
    <col min="12025" max="12025" width="11.5" customWidth="1"/>
    <col min="12026" max="12026" width="11.83203125" bestFit="1" customWidth="1"/>
    <col min="12027" max="12027" width="17" customWidth="1"/>
    <col min="12028" max="12038" width="0" hidden="1" customWidth="1"/>
    <col min="12276" max="12276" width="8.1640625" customWidth="1"/>
    <col min="12277" max="12277" width="55.5" customWidth="1"/>
    <col min="12278" max="12278" width="8.5" customWidth="1"/>
    <col min="12279" max="12279" width="11.5" customWidth="1"/>
    <col min="12280" max="12280" width="13.83203125" customWidth="1"/>
    <col min="12281" max="12281" width="11.5" customWidth="1"/>
    <col min="12282" max="12282" width="11.83203125" bestFit="1" customWidth="1"/>
    <col min="12283" max="12283" width="17" customWidth="1"/>
    <col min="12284" max="12294" width="0" hidden="1" customWidth="1"/>
    <col min="12532" max="12532" width="8.1640625" customWidth="1"/>
    <col min="12533" max="12533" width="55.5" customWidth="1"/>
    <col min="12534" max="12534" width="8.5" customWidth="1"/>
    <col min="12535" max="12535" width="11.5" customWidth="1"/>
    <col min="12536" max="12536" width="13.83203125" customWidth="1"/>
    <col min="12537" max="12537" width="11.5" customWidth="1"/>
    <col min="12538" max="12538" width="11.83203125" bestFit="1" customWidth="1"/>
    <col min="12539" max="12539" width="17" customWidth="1"/>
    <col min="12540" max="12550" width="0" hidden="1" customWidth="1"/>
    <col min="12788" max="12788" width="8.1640625" customWidth="1"/>
    <col min="12789" max="12789" width="55.5" customWidth="1"/>
    <col min="12790" max="12790" width="8.5" customWidth="1"/>
    <col min="12791" max="12791" width="11.5" customWidth="1"/>
    <col min="12792" max="12792" width="13.83203125" customWidth="1"/>
    <col min="12793" max="12793" width="11.5" customWidth="1"/>
    <col min="12794" max="12794" width="11.83203125" bestFit="1" customWidth="1"/>
    <col min="12795" max="12795" width="17" customWidth="1"/>
    <col min="12796" max="12806" width="0" hidden="1" customWidth="1"/>
    <col min="13044" max="13044" width="8.1640625" customWidth="1"/>
    <col min="13045" max="13045" width="55.5" customWidth="1"/>
    <col min="13046" max="13046" width="8.5" customWidth="1"/>
    <col min="13047" max="13047" width="11.5" customWidth="1"/>
    <col min="13048" max="13048" width="13.83203125" customWidth="1"/>
    <col min="13049" max="13049" width="11.5" customWidth="1"/>
    <col min="13050" max="13050" width="11.83203125" bestFit="1" customWidth="1"/>
    <col min="13051" max="13051" width="17" customWidth="1"/>
    <col min="13052" max="13062" width="0" hidden="1" customWidth="1"/>
    <col min="13300" max="13300" width="8.1640625" customWidth="1"/>
    <col min="13301" max="13301" width="55.5" customWidth="1"/>
    <col min="13302" max="13302" width="8.5" customWidth="1"/>
    <col min="13303" max="13303" width="11.5" customWidth="1"/>
    <col min="13304" max="13304" width="13.83203125" customWidth="1"/>
    <col min="13305" max="13305" width="11.5" customWidth="1"/>
    <col min="13306" max="13306" width="11.83203125" bestFit="1" customWidth="1"/>
    <col min="13307" max="13307" width="17" customWidth="1"/>
    <col min="13308" max="13318" width="0" hidden="1" customWidth="1"/>
    <col min="13556" max="13556" width="8.1640625" customWidth="1"/>
    <col min="13557" max="13557" width="55.5" customWidth="1"/>
    <col min="13558" max="13558" width="8.5" customWidth="1"/>
    <col min="13559" max="13559" width="11.5" customWidth="1"/>
    <col min="13560" max="13560" width="13.83203125" customWidth="1"/>
    <col min="13561" max="13561" width="11.5" customWidth="1"/>
    <col min="13562" max="13562" width="11.83203125" bestFit="1" customWidth="1"/>
    <col min="13563" max="13563" width="17" customWidth="1"/>
    <col min="13564" max="13574" width="0" hidden="1" customWidth="1"/>
    <col min="13812" max="13812" width="8.1640625" customWidth="1"/>
    <col min="13813" max="13813" width="55.5" customWidth="1"/>
    <col min="13814" max="13814" width="8.5" customWidth="1"/>
    <col min="13815" max="13815" width="11.5" customWidth="1"/>
    <col min="13816" max="13816" width="13.83203125" customWidth="1"/>
    <col min="13817" max="13817" width="11.5" customWidth="1"/>
    <col min="13818" max="13818" width="11.83203125" bestFit="1" customWidth="1"/>
    <col min="13819" max="13819" width="17" customWidth="1"/>
    <col min="13820" max="13830" width="0" hidden="1" customWidth="1"/>
    <col min="14068" max="14068" width="8.1640625" customWidth="1"/>
    <col min="14069" max="14069" width="55.5" customWidth="1"/>
    <col min="14070" max="14070" width="8.5" customWidth="1"/>
    <col min="14071" max="14071" width="11.5" customWidth="1"/>
    <col min="14072" max="14072" width="13.83203125" customWidth="1"/>
    <col min="14073" max="14073" width="11.5" customWidth="1"/>
    <col min="14074" max="14074" width="11.83203125" bestFit="1" customWidth="1"/>
    <col min="14075" max="14075" width="17" customWidth="1"/>
    <col min="14076" max="14086" width="0" hidden="1" customWidth="1"/>
    <col min="14324" max="14324" width="8.1640625" customWidth="1"/>
    <col min="14325" max="14325" width="55.5" customWidth="1"/>
    <col min="14326" max="14326" width="8.5" customWidth="1"/>
    <col min="14327" max="14327" width="11.5" customWidth="1"/>
    <col min="14328" max="14328" width="13.83203125" customWidth="1"/>
    <col min="14329" max="14329" width="11.5" customWidth="1"/>
    <col min="14330" max="14330" width="11.83203125" bestFit="1" customWidth="1"/>
    <col min="14331" max="14331" width="17" customWidth="1"/>
    <col min="14332" max="14342" width="0" hidden="1" customWidth="1"/>
    <col min="14580" max="14580" width="8.1640625" customWidth="1"/>
    <col min="14581" max="14581" width="55.5" customWidth="1"/>
    <col min="14582" max="14582" width="8.5" customWidth="1"/>
    <col min="14583" max="14583" width="11.5" customWidth="1"/>
    <col min="14584" max="14584" width="13.83203125" customWidth="1"/>
    <col min="14585" max="14585" width="11.5" customWidth="1"/>
    <col min="14586" max="14586" width="11.83203125" bestFit="1" customWidth="1"/>
    <col min="14587" max="14587" width="17" customWidth="1"/>
    <col min="14588" max="14598" width="0" hidden="1" customWidth="1"/>
    <col min="14836" max="14836" width="8.1640625" customWidth="1"/>
    <col min="14837" max="14837" width="55.5" customWidth="1"/>
    <col min="14838" max="14838" width="8.5" customWidth="1"/>
    <col min="14839" max="14839" width="11.5" customWidth="1"/>
    <col min="14840" max="14840" width="13.83203125" customWidth="1"/>
    <col min="14841" max="14841" width="11.5" customWidth="1"/>
    <col min="14842" max="14842" width="11.83203125" bestFit="1" customWidth="1"/>
    <col min="14843" max="14843" width="17" customWidth="1"/>
    <col min="14844" max="14854" width="0" hidden="1" customWidth="1"/>
    <col min="15092" max="15092" width="8.1640625" customWidth="1"/>
    <col min="15093" max="15093" width="55.5" customWidth="1"/>
    <col min="15094" max="15094" width="8.5" customWidth="1"/>
    <col min="15095" max="15095" width="11.5" customWidth="1"/>
    <col min="15096" max="15096" width="13.83203125" customWidth="1"/>
    <col min="15097" max="15097" width="11.5" customWidth="1"/>
    <col min="15098" max="15098" width="11.83203125" bestFit="1" customWidth="1"/>
    <col min="15099" max="15099" width="17" customWidth="1"/>
    <col min="15100" max="15110" width="0" hidden="1" customWidth="1"/>
    <col min="15348" max="15348" width="8.1640625" customWidth="1"/>
    <col min="15349" max="15349" width="55.5" customWidth="1"/>
    <col min="15350" max="15350" width="8.5" customWidth="1"/>
    <col min="15351" max="15351" width="11.5" customWidth="1"/>
    <col min="15352" max="15352" width="13.83203125" customWidth="1"/>
    <col min="15353" max="15353" width="11.5" customWidth="1"/>
    <col min="15354" max="15354" width="11.83203125" bestFit="1" customWidth="1"/>
    <col min="15355" max="15355" width="17" customWidth="1"/>
    <col min="15356" max="15366" width="0" hidden="1" customWidth="1"/>
    <col min="15604" max="15604" width="8.1640625" customWidth="1"/>
    <col min="15605" max="15605" width="55.5" customWidth="1"/>
    <col min="15606" max="15606" width="8.5" customWidth="1"/>
    <col min="15607" max="15607" width="11.5" customWidth="1"/>
    <col min="15608" max="15608" width="13.83203125" customWidth="1"/>
    <col min="15609" max="15609" width="11.5" customWidth="1"/>
    <col min="15610" max="15610" width="11.83203125" bestFit="1" customWidth="1"/>
    <col min="15611" max="15611" width="17" customWidth="1"/>
    <col min="15612" max="15622" width="0" hidden="1" customWidth="1"/>
    <col min="15860" max="15860" width="8.1640625" customWidth="1"/>
    <col min="15861" max="15861" width="55.5" customWidth="1"/>
    <col min="15862" max="15862" width="8.5" customWidth="1"/>
    <col min="15863" max="15863" width="11.5" customWidth="1"/>
    <col min="15864" max="15864" width="13.83203125" customWidth="1"/>
    <col min="15865" max="15865" width="11.5" customWidth="1"/>
    <col min="15866" max="15866" width="11.83203125" bestFit="1" customWidth="1"/>
    <col min="15867" max="15867" width="17" customWidth="1"/>
    <col min="15868" max="15878" width="0" hidden="1" customWidth="1"/>
    <col min="16116" max="16116" width="8.1640625" customWidth="1"/>
    <col min="16117" max="16117" width="55.5" customWidth="1"/>
    <col min="16118" max="16118" width="8.5" customWidth="1"/>
    <col min="16119" max="16119" width="11.5" customWidth="1"/>
    <col min="16120" max="16120" width="13.83203125" customWidth="1"/>
    <col min="16121" max="16121" width="11.5" customWidth="1"/>
    <col min="16122" max="16122" width="11.83203125" bestFit="1" customWidth="1"/>
    <col min="16123" max="16123" width="17" customWidth="1"/>
    <col min="16124" max="16134" width="0" hidden="1" customWidth="1"/>
  </cols>
  <sheetData>
    <row r="1" spans="1:14" ht="20" x14ac:dyDescent="0.2">
      <c r="A1" s="97"/>
      <c r="B1" s="97"/>
      <c r="C1" s="97"/>
      <c r="D1" s="97"/>
      <c r="E1" s="115"/>
      <c r="F1" s="115"/>
    </row>
    <row r="2" spans="1:14" ht="53" customHeight="1" x14ac:dyDescent="0.2">
      <c r="A2" s="206" t="s">
        <v>259</v>
      </c>
      <c r="B2" s="207"/>
      <c r="C2" s="207"/>
      <c r="D2" s="207"/>
      <c r="E2" s="207"/>
      <c r="F2" s="208"/>
      <c r="I2" s="209" t="s">
        <v>237</v>
      </c>
      <c r="J2" s="209"/>
      <c r="K2" s="209"/>
      <c r="L2" s="209"/>
      <c r="M2" s="209"/>
      <c r="N2" s="209"/>
    </row>
    <row r="3" spans="1:14" ht="20" x14ac:dyDescent="0.2">
      <c r="A3" s="97"/>
      <c r="B3" s="97"/>
      <c r="C3" s="97"/>
      <c r="D3" s="97"/>
      <c r="E3" s="115"/>
      <c r="F3" s="115"/>
      <c r="I3" s="210" t="s">
        <v>238</v>
      </c>
      <c r="J3" s="210"/>
      <c r="K3" s="210"/>
      <c r="L3" s="210"/>
      <c r="M3" s="211" t="e">
        <f>(F5+F9+F23+F31+F35+F46+F55+F127+F134)*(1+35%+6%*19%)</f>
        <v>#REF!</v>
      </c>
      <c r="N3" s="212"/>
    </row>
    <row r="4" spans="1:14" x14ac:dyDescent="0.2">
      <c r="A4" s="98" t="s">
        <v>0</v>
      </c>
      <c r="B4" s="99" t="s">
        <v>1</v>
      </c>
      <c r="C4" s="100" t="s">
        <v>2</v>
      </c>
      <c r="D4" s="101" t="s">
        <v>3</v>
      </c>
      <c r="E4" s="116" t="s">
        <v>4</v>
      </c>
      <c r="F4" s="116" t="s">
        <v>5</v>
      </c>
      <c r="I4" s="210" t="s">
        <v>239</v>
      </c>
      <c r="J4" s="210"/>
      <c r="K4" s="210"/>
      <c r="L4" s="210"/>
      <c r="M4" s="213">
        <f>F137*(1+35%+6%*19%)</f>
        <v>1062089348.5440001</v>
      </c>
      <c r="N4" s="212"/>
    </row>
    <row r="5" spans="1:14" ht="17.25" customHeight="1" x14ac:dyDescent="0.2">
      <c r="A5" s="137">
        <v>1</v>
      </c>
      <c r="B5" s="138" t="s">
        <v>6</v>
      </c>
      <c r="C5" s="139"/>
      <c r="D5" s="140"/>
      <c r="E5" s="141"/>
      <c r="F5" s="141">
        <f>SUM(F6:F7)</f>
        <v>4794406.3271999992</v>
      </c>
      <c r="G5" s="142"/>
      <c r="H5" s="143"/>
      <c r="I5" s="210" t="s">
        <v>240</v>
      </c>
      <c r="J5" s="210"/>
      <c r="K5" s="210"/>
      <c r="L5" s="210"/>
      <c r="M5" s="213" t="e">
        <f>(F75+F106+F116)*(1+35%+6%*19%)</f>
        <v>#REF!</v>
      </c>
      <c r="N5" s="212"/>
    </row>
    <row r="6" spans="1:14" hidden="1" x14ac:dyDescent="0.2">
      <c r="A6" s="102" t="s">
        <v>7</v>
      </c>
      <c r="B6" s="103" t="s">
        <v>8</v>
      </c>
      <c r="C6" s="104" t="s">
        <v>9</v>
      </c>
      <c r="D6" s="110">
        <f>277*3+4.21*3</f>
        <v>843.63</v>
      </c>
      <c r="E6" s="117">
        <f>3976*1.19</f>
        <v>4731.4399999999996</v>
      </c>
      <c r="F6" s="117">
        <f>D6*E6</f>
        <v>3991584.7271999996</v>
      </c>
      <c r="H6" s="96"/>
      <c r="I6" s="210" t="s">
        <v>254</v>
      </c>
      <c r="J6" s="210"/>
      <c r="K6" s="210"/>
      <c r="L6" s="210"/>
      <c r="M6" s="213">
        <f>(F220+F130)*(1+35%+6%*19%)</f>
        <v>134301401.53324863</v>
      </c>
      <c r="N6" s="212"/>
    </row>
    <row r="7" spans="1:14" hidden="1" x14ac:dyDescent="0.2">
      <c r="A7" s="102" t="s">
        <v>10</v>
      </c>
      <c r="B7" s="103" t="s">
        <v>19</v>
      </c>
      <c r="C7" s="104" t="s">
        <v>9</v>
      </c>
      <c r="D7" s="110">
        <v>300</v>
      </c>
      <c r="E7" s="117">
        <f>2248.8*1.19</f>
        <v>2676.0720000000001</v>
      </c>
      <c r="F7" s="117">
        <f t="shared" ref="F7:F15" si="0">D7*E7</f>
        <v>802821.60000000009</v>
      </c>
      <c r="H7" s="96"/>
      <c r="I7" s="214" t="s">
        <v>257</v>
      </c>
      <c r="J7" s="214"/>
      <c r="K7" s="214"/>
      <c r="L7" s="214"/>
      <c r="M7" s="215" t="e">
        <f>SUM(M3:N6)</f>
        <v>#REF!</v>
      </c>
      <c r="N7" s="216"/>
    </row>
    <row r="8" spans="1:14" hidden="1" x14ac:dyDescent="0.2">
      <c r="A8" s="144"/>
      <c r="B8" s="103"/>
      <c r="C8" s="104"/>
      <c r="D8" s="110"/>
      <c r="E8" s="117"/>
      <c r="F8" s="117"/>
      <c r="H8" s="96"/>
      <c r="I8" s="217" t="s">
        <v>258</v>
      </c>
      <c r="J8" s="217"/>
      <c r="K8" s="217"/>
      <c r="L8" s="154">
        <v>7.0000000000000007E-2</v>
      </c>
      <c r="M8" s="211" t="e">
        <f>M7*7%</f>
        <v>#REF!</v>
      </c>
      <c r="N8" s="212"/>
    </row>
    <row r="9" spans="1:14" x14ac:dyDescent="0.2">
      <c r="A9" s="137">
        <v>2</v>
      </c>
      <c r="B9" s="138" t="s">
        <v>24</v>
      </c>
      <c r="C9" s="139"/>
      <c r="D9" s="140"/>
      <c r="E9" s="141"/>
      <c r="F9" s="141" t="e">
        <f>SUM(F10:F21)</f>
        <v>#REF!</v>
      </c>
      <c r="G9" s="142"/>
      <c r="H9" s="143"/>
      <c r="I9" s="143"/>
      <c r="J9" s="142"/>
      <c r="K9" s="142"/>
      <c r="L9" s="142"/>
      <c r="M9" s="142"/>
      <c r="N9" s="142"/>
    </row>
    <row r="10" spans="1:14" hidden="1" x14ac:dyDescent="0.2">
      <c r="A10" s="105" t="s">
        <v>27</v>
      </c>
      <c r="B10" s="106" t="s">
        <v>120</v>
      </c>
      <c r="C10" s="107" t="s">
        <v>9</v>
      </c>
      <c r="D10" s="111">
        <f>D6</f>
        <v>843.63</v>
      </c>
      <c r="E10" s="117" t="e">
        <f>#REF!*1.19</f>
        <v>#REF!</v>
      </c>
      <c r="F10" s="117" t="e">
        <f t="shared" si="0"/>
        <v>#REF!</v>
      </c>
      <c r="H10" s="96"/>
      <c r="I10" s="96"/>
    </row>
    <row r="11" spans="1:14" hidden="1" x14ac:dyDescent="0.2">
      <c r="A11" s="105" t="s">
        <v>28</v>
      </c>
      <c r="B11" s="106" t="s">
        <v>26</v>
      </c>
      <c r="C11" s="107" t="s">
        <v>9</v>
      </c>
      <c r="D11" s="111">
        <f>D10</f>
        <v>843.63</v>
      </c>
      <c r="E11" s="117">
        <f>2269*1.19</f>
        <v>2700.1099999999997</v>
      </c>
      <c r="F11" s="117">
        <f t="shared" si="0"/>
        <v>2277893.7992999996</v>
      </c>
      <c r="H11" s="96"/>
      <c r="I11" s="96"/>
    </row>
    <row r="12" spans="1:14" hidden="1" x14ac:dyDescent="0.2">
      <c r="A12" s="105" t="s">
        <v>29</v>
      </c>
      <c r="B12" s="106" t="s">
        <v>121</v>
      </c>
      <c r="C12" s="107" t="s">
        <v>14</v>
      </c>
      <c r="D12" s="111">
        <v>793</v>
      </c>
      <c r="E12" s="117">
        <f>2565.1*1.19</f>
        <v>3052.4689999999996</v>
      </c>
      <c r="F12" s="117">
        <f t="shared" si="0"/>
        <v>2420607.9169999999</v>
      </c>
      <c r="H12" s="96"/>
      <c r="I12" s="96"/>
    </row>
    <row r="13" spans="1:14" hidden="1" x14ac:dyDescent="0.2">
      <c r="A13" s="105" t="s">
        <v>30</v>
      </c>
      <c r="B13" s="106" t="s">
        <v>21</v>
      </c>
      <c r="C13" s="107" t="s">
        <v>9</v>
      </c>
      <c r="D13" s="111">
        <v>163</v>
      </c>
      <c r="E13" s="117">
        <f>9229.9*1.19</f>
        <v>10983.580999999998</v>
      </c>
      <c r="F13" s="117">
        <f t="shared" si="0"/>
        <v>1790323.7029999997</v>
      </c>
      <c r="H13" s="96"/>
      <c r="I13" s="96"/>
    </row>
    <row r="14" spans="1:14" hidden="1" x14ac:dyDescent="0.2">
      <c r="A14" s="105" t="s">
        <v>31</v>
      </c>
      <c r="B14" s="106" t="s">
        <v>22</v>
      </c>
      <c r="C14" s="107" t="s">
        <v>25</v>
      </c>
      <c r="D14" s="111">
        <f>D10*0.1*1.3</f>
        <v>109.67190000000001</v>
      </c>
      <c r="E14" s="117">
        <f>19584.3*1.19</f>
        <v>23305.316999999999</v>
      </c>
      <c r="F14" s="117">
        <f t="shared" si="0"/>
        <v>2555938.3954922999</v>
      </c>
      <c r="H14" s="96"/>
      <c r="I14" s="96"/>
    </row>
    <row r="15" spans="1:14" ht="24.75" hidden="1" customHeight="1" x14ac:dyDescent="0.2">
      <c r="A15" s="105" t="s">
        <v>153</v>
      </c>
      <c r="B15" s="106" t="s">
        <v>123</v>
      </c>
      <c r="C15" s="107" t="s">
        <v>25</v>
      </c>
      <c r="D15" s="111">
        <f>D14</f>
        <v>109.67190000000001</v>
      </c>
      <c r="E15" s="117" t="e">
        <f>#REF!*1.19</f>
        <v>#REF!</v>
      </c>
      <c r="F15" s="117" t="e">
        <f t="shared" si="0"/>
        <v>#REF!</v>
      </c>
      <c r="H15" s="96"/>
      <c r="I15" s="96"/>
    </row>
    <row r="16" spans="1:14" hidden="1" x14ac:dyDescent="0.2">
      <c r="A16" s="105" t="s">
        <v>154</v>
      </c>
      <c r="B16" s="106" t="s">
        <v>119</v>
      </c>
      <c r="C16" s="107" t="s">
        <v>2</v>
      </c>
      <c r="D16" s="111">
        <f>17+5+19+4+5</f>
        <v>50</v>
      </c>
      <c r="E16" s="117">
        <f>29102*1.19</f>
        <v>34631.379999999997</v>
      </c>
      <c r="F16" s="117">
        <f>D16*E16</f>
        <v>1731568.9999999998</v>
      </c>
      <c r="H16" s="96"/>
      <c r="I16" s="96"/>
    </row>
    <row r="17" spans="1:9" hidden="1" x14ac:dyDescent="0.2">
      <c r="A17" s="105" t="s">
        <v>155</v>
      </c>
      <c r="B17" s="106" t="s">
        <v>125</v>
      </c>
      <c r="C17" s="107" t="s">
        <v>2</v>
      </c>
      <c r="D17" s="111">
        <f>(5+3+5+7+5+7+5+5+6+4+7+2+5+5+6+5+5+3)*(1*1.2)</f>
        <v>108</v>
      </c>
      <c r="E17" s="117">
        <f>19952*1.4*1.19</f>
        <v>33240.031999999999</v>
      </c>
      <c r="F17" s="117">
        <f>D17*E17</f>
        <v>3589923.4559999998</v>
      </c>
      <c r="H17" s="96"/>
      <c r="I17" s="96"/>
    </row>
    <row r="18" spans="1:9" hidden="1" x14ac:dyDescent="0.2">
      <c r="A18" s="105" t="s">
        <v>156</v>
      </c>
      <c r="B18" s="106" t="s">
        <v>129</v>
      </c>
      <c r="C18" s="107" t="s">
        <v>130</v>
      </c>
      <c r="D18" s="111">
        <f>0.4+3.23+5.75+6.9+8.63+0.4+3.25+8.3+0.4+2.85+2.55+1.1+1.4+1.4+1.1+2.55+2.85+0.4</f>
        <v>53.459999999999994</v>
      </c>
      <c r="E18" s="117">
        <f>85000*3*2*5/53.5</f>
        <v>47663.551401869161</v>
      </c>
      <c r="F18" s="117">
        <f>D18*E18</f>
        <v>2548093.4579439252</v>
      </c>
      <c r="H18" s="96"/>
      <c r="I18" s="96"/>
    </row>
    <row r="19" spans="1:9" hidden="1" x14ac:dyDescent="0.2">
      <c r="A19" s="145">
        <v>2.1</v>
      </c>
      <c r="B19" s="106" t="s">
        <v>157</v>
      </c>
      <c r="C19" s="107" t="s">
        <v>9</v>
      </c>
      <c r="D19" s="111">
        <f>2*1*3</f>
        <v>6</v>
      </c>
      <c r="E19" s="117">
        <f>27631*1.19</f>
        <v>32880.89</v>
      </c>
      <c r="F19" s="117">
        <f>D19*E19</f>
        <v>197285.34</v>
      </c>
      <c r="H19" s="96"/>
      <c r="I19" s="96"/>
    </row>
    <row r="20" spans="1:9" hidden="1" x14ac:dyDescent="0.2">
      <c r="A20" s="105"/>
      <c r="B20" s="106" t="s">
        <v>126</v>
      </c>
      <c r="C20" s="107" t="s">
        <v>2</v>
      </c>
      <c r="D20" s="111"/>
      <c r="E20" s="117"/>
      <c r="F20" s="117"/>
      <c r="H20" s="96"/>
      <c r="I20" s="96"/>
    </row>
    <row r="21" spans="1:9" hidden="1" x14ac:dyDescent="0.2">
      <c r="A21" s="105"/>
      <c r="B21" s="106" t="s">
        <v>58</v>
      </c>
      <c r="C21" s="107" t="s">
        <v>9</v>
      </c>
      <c r="D21" s="111"/>
      <c r="E21" s="117"/>
      <c r="F21" s="117"/>
      <c r="H21" s="96"/>
      <c r="I21" s="96"/>
    </row>
    <row r="22" spans="1:9" hidden="1" x14ac:dyDescent="0.2">
      <c r="A22" s="105"/>
      <c r="B22" s="106"/>
      <c r="C22" s="107"/>
      <c r="D22" s="111"/>
      <c r="E22" s="117"/>
      <c r="F22" s="117"/>
      <c r="H22" s="96"/>
      <c r="I22" s="96"/>
    </row>
    <row r="23" spans="1:9" x14ac:dyDescent="0.2">
      <c r="A23" s="137">
        <v>3</v>
      </c>
      <c r="B23" s="138" t="s">
        <v>17</v>
      </c>
      <c r="C23" s="139"/>
      <c r="D23" s="140"/>
      <c r="E23" s="141"/>
      <c r="F23" s="141" t="e">
        <f>SUM(F24:F29)</f>
        <v>#REF!</v>
      </c>
      <c r="G23" s="142"/>
      <c r="H23" s="143"/>
      <c r="I23" s="143"/>
    </row>
    <row r="24" spans="1:9" hidden="1" x14ac:dyDescent="0.2">
      <c r="A24" s="105" t="s">
        <v>11</v>
      </c>
      <c r="B24" s="106" t="s">
        <v>15</v>
      </c>
      <c r="C24" s="107" t="s">
        <v>14</v>
      </c>
      <c r="D24" s="111">
        <v>793</v>
      </c>
      <c r="E24" s="117">
        <v>6676.4</v>
      </c>
      <c r="F24" s="117">
        <f t="shared" ref="F24:F32" si="1">D24*E24</f>
        <v>5294385.1999999993</v>
      </c>
      <c r="H24" s="96"/>
      <c r="I24" s="96"/>
    </row>
    <row r="25" spans="1:9" hidden="1" x14ac:dyDescent="0.2">
      <c r="A25" s="105"/>
      <c r="B25" s="106" t="s">
        <v>36</v>
      </c>
      <c r="C25" s="107" t="s">
        <v>9</v>
      </c>
      <c r="D25" s="111">
        <v>831</v>
      </c>
      <c r="E25" s="117">
        <v>17452.599999999999</v>
      </c>
      <c r="F25" s="117">
        <f t="shared" si="1"/>
        <v>14503110.6</v>
      </c>
      <c r="H25" s="96"/>
      <c r="I25" s="96"/>
    </row>
    <row r="26" spans="1:9" hidden="1" x14ac:dyDescent="0.2">
      <c r="A26" s="105" t="s">
        <v>12</v>
      </c>
      <c r="B26" s="106" t="s">
        <v>16</v>
      </c>
      <c r="C26" s="107" t="s">
        <v>9</v>
      </c>
      <c r="D26" s="111">
        <v>831</v>
      </c>
      <c r="E26" s="117">
        <v>33405.9</v>
      </c>
      <c r="F26" s="117">
        <f t="shared" si="1"/>
        <v>27760302.900000002</v>
      </c>
      <c r="H26" s="96"/>
      <c r="I26" s="96"/>
    </row>
    <row r="27" spans="1:9" hidden="1" x14ac:dyDescent="0.2">
      <c r="A27" s="105" t="s">
        <v>13</v>
      </c>
      <c r="B27" s="106" t="s">
        <v>255</v>
      </c>
      <c r="C27" s="107" t="s">
        <v>9</v>
      </c>
      <c r="D27" s="111">
        <v>831</v>
      </c>
      <c r="E27" s="117" t="e">
        <f>#REF!</f>
        <v>#REF!</v>
      </c>
      <c r="F27" s="117" t="e">
        <f t="shared" si="1"/>
        <v>#REF!</v>
      </c>
      <c r="H27" s="96"/>
      <c r="I27" s="96"/>
    </row>
    <row r="28" spans="1:9" hidden="1" x14ac:dyDescent="0.2">
      <c r="A28" s="105" t="s">
        <v>32</v>
      </c>
      <c r="B28" s="106" t="s">
        <v>33</v>
      </c>
      <c r="C28" s="107" t="s">
        <v>9</v>
      </c>
      <c r="D28" s="111">
        <v>831</v>
      </c>
      <c r="E28" s="117">
        <v>26823.1</v>
      </c>
      <c r="F28" s="117">
        <f t="shared" si="1"/>
        <v>22289996.099999998</v>
      </c>
      <c r="H28" s="96"/>
      <c r="I28" s="96"/>
    </row>
    <row r="29" spans="1:9" hidden="1" x14ac:dyDescent="0.2">
      <c r="A29" s="105" t="s">
        <v>34</v>
      </c>
      <c r="B29" s="106" t="s">
        <v>256</v>
      </c>
      <c r="C29" s="107" t="s">
        <v>14</v>
      </c>
      <c r="D29" s="111">
        <v>793</v>
      </c>
      <c r="E29" s="117">
        <v>49195.199999999997</v>
      </c>
      <c r="F29" s="117">
        <f t="shared" si="1"/>
        <v>39011793.599999994</v>
      </c>
      <c r="H29" s="96"/>
      <c r="I29" s="96"/>
    </row>
    <row r="30" spans="1:9" hidden="1" x14ac:dyDescent="0.2">
      <c r="A30" s="159" t="s">
        <v>57</v>
      </c>
      <c r="B30" s="164" t="s">
        <v>261</v>
      </c>
      <c r="C30" s="161" t="s">
        <v>9</v>
      </c>
      <c r="D30" s="162"/>
      <c r="E30" s="163"/>
      <c r="F30" s="163"/>
      <c r="G30" s="121" t="s">
        <v>262</v>
      </c>
      <c r="H30" s="96"/>
      <c r="I30" s="96"/>
    </row>
    <row r="31" spans="1:9" x14ac:dyDescent="0.2">
      <c r="A31" s="137">
        <v>4</v>
      </c>
      <c r="B31" s="138" t="s">
        <v>59</v>
      </c>
      <c r="C31" s="139"/>
      <c r="D31" s="140"/>
      <c r="E31" s="141"/>
      <c r="F31" s="141" t="e">
        <f>SUM(F32:F33)</f>
        <v>#REF!</v>
      </c>
      <c r="G31" s="142"/>
      <c r="H31" s="143"/>
      <c r="I31" s="143"/>
    </row>
    <row r="32" spans="1:9" hidden="1" x14ac:dyDescent="0.2">
      <c r="A32" s="105" t="s">
        <v>114</v>
      </c>
      <c r="B32" s="106" t="s">
        <v>60</v>
      </c>
      <c r="C32" s="107" t="s">
        <v>9</v>
      </c>
      <c r="D32" s="111">
        <f>(11+5.6*2+31.19+5.82+8.49+19.51+20)*3</f>
        <v>321.63</v>
      </c>
      <c r="E32" s="117" t="e">
        <f>#REF!*1.19</f>
        <v>#REF!</v>
      </c>
      <c r="F32" s="117" t="e">
        <f t="shared" si="1"/>
        <v>#REF!</v>
      </c>
      <c r="H32" s="96"/>
      <c r="I32" s="96"/>
    </row>
    <row r="33" spans="1:9" hidden="1" x14ac:dyDescent="0.2">
      <c r="A33" s="105" t="s">
        <v>115</v>
      </c>
      <c r="B33" s="106" t="s">
        <v>60</v>
      </c>
      <c r="C33" s="107" t="s">
        <v>14</v>
      </c>
      <c r="D33" s="111"/>
      <c r="E33" s="117"/>
      <c r="F33" s="117"/>
      <c r="H33" s="96"/>
      <c r="I33" s="96"/>
    </row>
    <row r="34" spans="1:9" hidden="1" x14ac:dyDescent="0.2">
      <c r="A34" s="105"/>
      <c r="B34" s="106"/>
      <c r="C34" s="107"/>
      <c r="D34" s="111"/>
      <c r="E34" s="117"/>
      <c r="F34" s="117"/>
      <c r="H34" s="96"/>
      <c r="I34" s="96"/>
    </row>
    <row r="35" spans="1:9" x14ac:dyDescent="0.2">
      <c r="A35" s="137">
        <v>5</v>
      </c>
      <c r="B35" s="138" t="s">
        <v>61</v>
      </c>
      <c r="C35" s="139"/>
      <c r="D35" s="140"/>
      <c r="E35" s="141"/>
      <c r="F35" s="141" t="e">
        <f>SUM(F36:F44)</f>
        <v>#REF!</v>
      </c>
      <c r="G35" s="142"/>
      <c r="H35" s="143"/>
      <c r="I35" s="143"/>
    </row>
    <row r="36" spans="1:9" hidden="1" x14ac:dyDescent="0.2">
      <c r="A36" s="105">
        <v>5.01</v>
      </c>
      <c r="B36" s="113" t="s">
        <v>62</v>
      </c>
      <c r="C36" s="107" t="s">
        <v>9</v>
      </c>
      <c r="D36" s="111">
        <f>D6</f>
        <v>843.63</v>
      </c>
      <c r="E36" s="117" t="e">
        <f>#REF!*1.19</f>
        <v>#REF!</v>
      </c>
      <c r="F36" s="117" t="e">
        <f>D36*E36</f>
        <v>#REF!</v>
      </c>
      <c r="H36" s="96"/>
      <c r="I36" s="96"/>
    </row>
    <row r="37" spans="1:9" hidden="1" x14ac:dyDescent="0.2">
      <c r="A37" s="105">
        <v>5.0199999999999996</v>
      </c>
      <c r="B37" s="113" t="s">
        <v>63</v>
      </c>
      <c r="C37" s="107" t="s">
        <v>9</v>
      </c>
      <c r="D37" s="111">
        <f>D32</f>
        <v>321.63</v>
      </c>
      <c r="E37" s="117" t="e">
        <f>#REF!*1.19</f>
        <v>#REF!</v>
      </c>
      <c r="F37" s="117" t="e">
        <f>D37*E37</f>
        <v>#REF!</v>
      </c>
      <c r="H37" s="96"/>
      <c r="I37" s="96"/>
    </row>
    <row r="38" spans="1:9" hidden="1" x14ac:dyDescent="0.2">
      <c r="A38" s="105">
        <v>5.03</v>
      </c>
      <c r="B38" s="113" t="s">
        <v>131</v>
      </c>
      <c r="C38" s="107" t="s">
        <v>9</v>
      </c>
      <c r="D38" s="111">
        <f>D37</f>
        <v>321.63</v>
      </c>
      <c r="E38" s="117" t="e">
        <f>#REF!*1.19</f>
        <v>#REF!</v>
      </c>
      <c r="F38" s="117" t="e">
        <f>D38*E38</f>
        <v>#REF!</v>
      </c>
      <c r="H38" s="96"/>
      <c r="I38" s="96"/>
    </row>
    <row r="39" spans="1:9" hidden="1" x14ac:dyDescent="0.2">
      <c r="A39" s="105">
        <v>5.04</v>
      </c>
      <c r="B39" s="113" t="s">
        <v>132</v>
      </c>
      <c r="C39" s="107" t="s">
        <v>9</v>
      </c>
      <c r="D39" s="111">
        <f>D36</f>
        <v>843.63</v>
      </c>
      <c r="E39" s="117" t="e">
        <f>E38</f>
        <v>#REF!</v>
      </c>
      <c r="F39" s="117" t="e">
        <f>D39*E39</f>
        <v>#REF!</v>
      </c>
      <c r="H39" s="96"/>
      <c r="I39" s="96"/>
    </row>
    <row r="40" spans="1:9" hidden="1" x14ac:dyDescent="0.2">
      <c r="A40" s="105"/>
      <c r="B40" s="113" t="s">
        <v>64</v>
      </c>
      <c r="C40" s="107" t="s">
        <v>14</v>
      </c>
      <c r="D40" s="111"/>
      <c r="E40" s="117"/>
      <c r="F40" s="117"/>
      <c r="H40" s="96"/>
      <c r="I40" s="96"/>
    </row>
    <row r="41" spans="1:9" hidden="1" x14ac:dyDescent="0.2">
      <c r="A41" s="105"/>
      <c r="B41" s="113" t="s">
        <v>65</v>
      </c>
      <c r="C41" s="107" t="s">
        <v>9</v>
      </c>
      <c r="D41" s="111"/>
      <c r="E41" s="117"/>
      <c r="F41" s="117"/>
      <c r="H41" s="96"/>
      <c r="I41" s="96"/>
    </row>
    <row r="42" spans="1:9" hidden="1" x14ac:dyDescent="0.2">
      <c r="A42" s="105"/>
      <c r="B42" s="113" t="s">
        <v>66</v>
      </c>
      <c r="C42" s="107" t="s">
        <v>14</v>
      </c>
      <c r="D42" s="111"/>
      <c r="E42" s="117"/>
      <c r="F42" s="117"/>
      <c r="H42" s="96"/>
      <c r="I42" s="96"/>
    </row>
    <row r="43" spans="1:9" hidden="1" x14ac:dyDescent="0.2">
      <c r="A43" s="105"/>
      <c r="B43" s="113" t="s">
        <v>67</v>
      </c>
      <c r="C43" s="107" t="s">
        <v>14</v>
      </c>
      <c r="D43" s="111"/>
      <c r="E43" s="117"/>
      <c r="F43" s="117"/>
      <c r="H43" s="96"/>
      <c r="I43" s="96"/>
    </row>
    <row r="44" spans="1:9" hidden="1" x14ac:dyDescent="0.2">
      <c r="A44" s="105"/>
      <c r="B44" s="113" t="s">
        <v>68</v>
      </c>
      <c r="C44" s="107" t="s">
        <v>9</v>
      </c>
      <c r="D44" s="111"/>
      <c r="E44" s="117"/>
      <c r="F44" s="117"/>
      <c r="H44" s="96"/>
      <c r="I44" s="96"/>
    </row>
    <row r="45" spans="1:9" hidden="1" x14ac:dyDescent="0.2">
      <c r="A45" s="105"/>
      <c r="B45" s="113"/>
      <c r="C45" s="107"/>
      <c r="D45" s="111"/>
      <c r="E45" s="117"/>
      <c r="F45" s="117"/>
      <c r="H45" s="96"/>
      <c r="I45" s="96"/>
    </row>
    <row r="46" spans="1:9" x14ac:dyDescent="0.2">
      <c r="A46" s="137">
        <v>6</v>
      </c>
      <c r="B46" s="138" t="s">
        <v>69</v>
      </c>
      <c r="C46" s="139"/>
      <c r="D46" s="140"/>
      <c r="E46" s="141"/>
      <c r="F46" s="141">
        <f>SUM(F47:F53)</f>
        <v>2070000</v>
      </c>
      <c r="G46" s="142"/>
      <c r="H46" s="143"/>
      <c r="I46" s="143"/>
    </row>
    <row r="47" spans="1:9" ht="27" hidden="1" customHeight="1" x14ac:dyDescent="0.2">
      <c r="A47" s="105">
        <v>6.01</v>
      </c>
      <c r="B47" s="113" t="s">
        <v>150</v>
      </c>
      <c r="C47" s="107" t="s">
        <v>9</v>
      </c>
      <c r="D47" s="111">
        <v>15</v>
      </c>
      <c r="E47" s="117">
        <f>85000+53000</f>
        <v>138000</v>
      </c>
      <c r="F47" s="117">
        <f>D47*E47</f>
        <v>2070000</v>
      </c>
      <c r="H47" s="96"/>
      <c r="I47" s="96"/>
    </row>
    <row r="48" spans="1:9" hidden="1" x14ac:dyDescent="0.2">
      <c r="A48" s="105"/>
      <c r="B48" s="113" t="s">
        <v>70</v>
      </c>
      <c r="C48" s="107" t="s">
        <v>14</v>
      </c>
      <c r="D48" s="111"/>
      <c r="E48" s="117"/>
      <c r="F48" s="117"/>
      <c r="H48" s="96"/>
      <c r="I48" s="96"/>
    </row>
    <row r="49" spans="1:9" hidden="1" x14ac:dyDescent="0.2">
      <c r="A49" s="105"/>
      <c r="B49" s="113" t="s">
        <v>71</v>
      </c>
      <c r="C49" s="107" t="s">
        <v>14</v>
      </c>
      <c r="D49" s="111"/>
      <c r="E49" s="117"/>
      <c r="F49" s="117"/>
      <c r="H49" s="96"/>
      <c r="I49" s="96"/>
    </row>
    <row r="50" spans="1:9" hidden="1" x14ac:dyDescent="0.2">
      <c r="A50" s="105"/>
      <c r="B50" s="113" t="s">
        <v>72</v>
      </c>
      <c r="C50" s="107" t="s">
        <v>14</v>
      </c>
      <c r="D50" s="111"/>
      <c r="E50" s="117"/>
      <c r="F50" s="117"/>
      <c r="H50" s="96"/>
      <c r="I50" s="96"/>
    </row>
    <row r="51" spans="1:9" hidden="1" x14ac:dyDescent="0.2">
      <c r="A51" s="105"/>
      <c r="B51" s="113" t="s">
        <v>73</v>
      </c>
      <c r="C51" s="107" t="s">
        <v>14</v>
      </c>
      <c r="D51" s="111"/>
      <c r="E51" s="117"/>
      <c r="F51" s="117"/>
      <c r="H51" s="96"/>
      <c r="I51" s="96"/>
    </row>
    <row r="52" spans="1:9" hidden="1" x14ac:dyDescent="0.2">
      <c r="A52" s="105"/>
      <c r="B52" s="106" t="s">
        <v>74</v>
      </c>
      <c r="C52" s="107" t="s">
        <v>14</v>
      </c>
      <c r="D52" s="111"/>
      <c r="E52" s="117"/>
      <c r="F52" s="117"/>
      <c r="H52" s="96"/>
      <c r="I52" s="96"/>
    </row>
    <row r="53" spans="1:9" hidden="1" x14ac:dyDescent="0.2">
      <c r="A53" s="105"/>
      <c r="B53" s="106" t="s">
        <v>75</v>
      </c>
      <c r="C53" s="107" t="s">
        <v>9</v>
      </c>
      <c r="D53" s="111"/>
      <c r="E53" s="117"/>
      <c r="F53" s="117"/>
      <c r="H53" s="96"/>
      <c r="I53" s="96"/>
    </row>
    <row r="54" spans="1:9" hidden="1" x14ac:dyDescent="0.2">
      <c r="A54" s="105"/>
      <c r="B54" s="106"/>
      <c r="C54" s="107"/>
      <c r="D54" s="111"/>
      <c r="E54" s="117"/>
      <c r="F54" s="117"/>
      <c r="H54" s="96"/>
      <c r="I54" s="96"/>
    </row>
    <row r="55" spans="1:9" x14ac:dyDescent="0.2">
      <c r="A55" s="137">
        <v>7</v>
      </c>
      <c r="B55" s="138" t="s">
        <v>116</v>
      </c>
      <c r="C55" s="139"/>
      <c r="D55" s="140"/>
      <c r="E55" s="141"/>
      <c r="F55" s="141">
        <f>SUM(F56:F73)</f>
        <v>44692500</v>
      </c>
      <c r="G55" s="142"/>
      <c r="H55" s="143"/>
      <c r="I55" s="143"/>
    </row>
    <row r="56" spans="1:9" hidden="1" x14ac:dyDescent="0.2">
      <c r="A56" s="159">
        <v>7.01</v>
      </c>
      <c r="B56" s="160" t="s">
        <v>117</v>
      </c>
      <c r="C56" s="161" t="s">
        <v>2</v>
      </c>
      <c r="D56" s="162">
        <v>0</v>
      </c>
      <c r="E56" s="163">
        <v>6000000</v>
      </c>
      <c r="F56" s="163">
        <f>D56*E56</f>
        <v>0</v>
      </c>
      <c r="G56" t="s">
        <v>263</v>
      </c>
      <c r="H56" t="s">
        <v>260</v>
      </c>
      <c r="I56" s="96"/>
    </row>
    <row r="57" spans="1:9" hidden="1" x14ac:dyDescent="0.2">
      <c r="A57" s="105">
        <v>7.02</v>
      </c>
      <c r="B57" s="113" t="s">
        <v>127</v>
      </c>
      <c r="C57" s="107" t="s">
        <v>9</v>
      </c>
      <c r="D57" s="111">
        <f>D17</f>
        <v>108</v>
      </c>
      <c r="E57" s="117">
        <v>212430.55555555556</v>
      </c>
      <c r="F57" s="117">
        <f>D57*E57</f>
        <v>22942500</v>
      </c>
      <c r="H57" s="96"/>
      <c r="I57" s="96"/>
    </row>
    <row r="58" spans="1:9" hidden="1" x14ac:dyDescent="0.2">
      <c r="A58" s="105">
        <v>7.03</v>
      </c>
      <c r="B58" s="146" t="s">
        <v>160</v>
      </c>
      <c r="C58" s="107" t="s">
        <v>2</v>
      </c>
      <c r="D58" s="111">
        <v>3</v>
      </c>
      <c r="E58" s="148">
        <v>5800000</v>
      </c>
      <c r="F58" s="117">
        <f>D58*E58</f>
        <v>17400000</v>
      </c>
      <c r="H58" s="96"/>
      <c r="I58" s="96"/>
    </row>
    <row r="59" spans="1:9" hidden="1" x14ac:dyDescent="0.2">
      <c r="A59" s="105">
        <v>7.04</v>
      </c>
      <c r="B59" s="113" t="s">
        <v>158</v>
      </c>
      <c r="C59" s="107" t="s">
        <v>2</v>
      </c>
      <c r="D59" s="111">
        <v>3</v>
      </c>
      <c r="E59" s="147">
        <v>250000</v>
      </c>
      <c r="F59" s="117">
        <f>D59*E59</f>
        <v>750000</v>
      </c>
      <c r="H59" s="96"/>
      <c r="I59" s="96"/>
    </row>
    <row r="60" spans="1:9" hidden="1" x14ac:dyDescent="0.2">
      <c r="A60" s="105">
        <v>7.05</v>
      </c>
      <c r="B60" s="146" t="s">
        <v>159</v>
      </c>
      <c r="C60" s="107" t="s">
        <v>2</v>
      </c>
      <c r="D60" s="111">
        <v>3</v>
      </c>
      <c r="E60" s="117">
        <v>1200000</v>
      </c>
      <c r="F60" s="117">
        <f>D60*E60</f>
        <v>3600000</v>
      </c>
      <c r="H60" s="96"/>
      <c r="I60" s="96"/>
    </row>
    <row r="61" spans="1:9" hidden="1" x14ac:dyDescent="0.2">
      <c r="A61" s="105"/>
      <c r="B61" s="113" t="s">
        <v>76</v>
      </c>
      <c r="C61" s="107" t="s">
        <v>9</v>
      </c>
      <c r="D61" s="111"/>
      <c r="E61" s="117"/>
      <c r="F61" s="117"/>
      <c r="H61" s="96"/>
      <c r="I61" s="96"/>
    </row>
    <row r="62" spans="1:9" hidden="1" x14ac:dyDescent="0.2">
      <c r="A62" s="105"/>
      <c r="B62" s="113" t="s">
        <v>77</v>
      </c>
      <c r="C62" s="107" t="s">
        <v>9</v>
      </c>
      <c r="D62" s="111"/>
      <c r="E62" s="117"/>
      <c r="F62" s="117"/>
      <c r="H62" s="96"/>
      <c r="I62" s="96"/>
    </row>
    <row r="63" spans="1:9" ht="28.5" hidden="1" customHeight="1" x14ac:dyDescent="0.2">
      <c r="A63" s="105"/>
      <c r="B63" s="113" t="s">
        <v>78</v>
      </c>
      <c r="C63" s="107" t="s">
        <v>2</v>
      </c>
      <c r="D63" s="111"/>
      <c r="E63" s="117"/>
      <c r="F63" s="117"/>
      <c r="H63" s="96"/>
      <c r="I63" s="96"/>
    </row>
    <row r="64" spans="1:9" hidden="1" x14ac:dyDescent="0.2">
      <c r="A64" s="105"/>
      <c r="B64" s="113" t="s">
        <v>79</v>
      </c>
      <c r="C64" s="107" t="s">
        <v>2</v>
      </c>
      <c r="D64" s="111"/>
      <c r="E64" s="117"/>
      <c r="F64" s="117"/>
      <c r="H64" s="96"/>
      <c r="I64" s="96"/>
    </row>
    <row r="65" spans="1:9" hidden="1" x14ac:dyDescent="0.2">
      <c r="A65" s="105"/>
      <c r="B65" s="113" t="s">
        <v>80</v>
      </c>
      <c r="C65" s="107" t="s">
        <v>2</v>
      </c>
      <c r="D65" s="111"/>
      <c r="E65" s="117"/>
      <c r="F65" s="117"/>
      <c r="H65" s="96"/>
      <c r="I65" s="96"/>
    </row>
    <row r="66" spans="1:9" hidden="1" x14ac:dyDescent="0.2">
      <c r="A66" s="105"/>
      <c r="B66" s="113" t="s">
        <v>81</v>
      </c>
      <c r="C66" s="107" t="s">
        <v>2</v>
      </c>
      <c r="D66" s="111"/>
      <c r="E66" s="117"/>
      <c r="F66" s="117"/>
      <c r="H66" s="96"/>
      <c r="I66" s="96"/>
    </row>
    <row r="67" spans="1:9" ht="33.75" hidden="1" customHeight="1" x14ac:dyDescent="0.2">
      <c r="A67" s="105"/>
      <c r="B67" s="113" t="s">
        <v>82</v>
      </c>
      <c r="C67" s="107" t="s">
        <v>2</v>
      </c>
      <c r="D67" s="111"/>
      <c r="E67" s="117"/>
      <c r="F67" s="117"/>
      <c r="H67" s="96"/>
      <c r="I67" s="96"/>
    </row>
    <row r="68" spans="1:9" hidden="1" x14ac:dyDescent="0.2">
      <c r="A68" s="105"/>
      <c r="B68" s="113" t="s">
        <v>83</v>
      </c>
      <c r="C68" s="107" t="s">
        <v>2</v>
      </c>
      <c r="D68" s="111"/>
      <c r="E68" s="117"/>
      <c r="F68" s="117"/>
      <c r="H68" s="96"/>
      <c r="I68" s="96"/>
    </row>
    <row r="69" spans="1:9" ht="31.5" hidden="1" customHeight="1" x14ac:dyDescent="0.2">
      <c r="A69" s="105"/>
      <c r="B69" s="113" t="s">
        <v>84</v>
      </c>
      <c r="C69" s="107" t="s">
        <v>14</v>
      </c>
      <c r="D69" s="111"/>
      <c r="E69" s="117"/>
      <c r="F69" s="117"/>
      <c r="H69" s="96"/>
      <c r="I69" s="96"/>
    </row>
    <row r="70" spans="1:9" hidden="1" x14ac:dyDescent="0.2">
      <c r="A70" s="105"/>
      <c r="B70" s="113" t="s">
        <v>85</v>
      </c>
      <c r="C70" s="107" t="s">
        <v>2</v>
      </c>
      <c r="D70" s="111"/>
      <c r="E70" s="117"/>
      <c r="F70" s="117"/>
      <c r="H70" s="96"/>
      <c r="I70" s="96"/>
    </row>
    <row r="71" spans="1:9" hidden="1" x14ac:dyDescent="0.2">
      <c r="A71" s="105"/>
      <c r="B71" s="113" t="s">
        <v>86</v>
      </c>
      <c r="C71" s="107" t="s">
        <v>2</v>
      </c>
      <c r="D71" s="111"/>
      <c r="E71" s="117"/>
      <c r="F71" s="117"/>
      <c r="H71" s="96"/>
      <c r="I71" s="96"/>
    </row>
    <row r="72" spans="1:9" hidden="1" x14ac:dyDescent="0.2">
      <c r="A72" s="105"/>
      <c r="B72" s="113" t="s">
        <v>87</v>
      </c>
      <c r="C72" s="107" t="s">
        <v>2</v>
      </c>
      <c r="D72" s="111"/>
      <c r="E72" s="117"/>
      <c r="F72" s="117"/>
      <c r="H72" s="96"/>
      <c r="I72" s="96"/>
    </row>
    <row r="73" spans="1:9" hidden="1" x14ac:dyDescent="0.2">
      <c r="A73" s="105"/>
      <c r="B73" s="113" t="s">
        <v>88</v>
      </c>
      <c r="C73" s="107" t="s">
        <v>2</v>
      </c>
      <c r="D73" s="111"/>
      <c r="E73" s="117"/>
      <c r="F73" s="117"/>
      <c r="H73" s="96"/>
      <c r="I73" s="96"/>
    </row>
    <row r="74" spans="1:9" hidden="1" x14ac:dyDescent="0.2">
      <c r="A74" s="105"/>
      <c r="B74" s="113"/>
      <c r="C74" s="107"/>
      <c r="D74" s="111"/>
      <c r="E74" s="117"/>
      <c r="F74" s="117"/>
      <c r="H74" s="96"/>
      <c r="I74" s="96"/>
    </row>
    <row r="75" spans="1:9" x14ac:dyDescent="0.2">
      <c r="A75" s="137">
        <v>8</v>
      </c>
      <c r="B75" s="138" t="s">
        <v>152</v>
      </c>
      <c r="C75" s="139"/>
      <c r="D75" s="140"/>
      <c r="E75" s="141"/>
      <c r="F75" s="141" t="e">
        <f>SUM(F76:F104)</f>
        <v>#REF!</v>
      </c>
      <c r="G75" s="142"/>
      <c r="H75" s="143"/>
      <c r="I75" s="143"/>
    </row>
    <row r="76" spans="1:9" hidden="1" x14ac:dyDescent="0.2">
      <c r="A76" s="105">
        <v>8.01</v>
      </c>
      <c r="B76" s="113" t="s">
        <v>124</v>
      </c>
      <c r="C76" s="107" t="s">
        <v>2</v>
      </c>
      <c r="D76" s="111">
        <v>50</v>
      </c>
      <c r="E76" s="117">
        <v>29102</v>
      </c>
      <c r="F76" s="117">
        <f t="shared" ref="F76:F84" si="2">D76*E76</f>
        <v>1455100</v>
      </c>
      <c r="H76" s="96"/>
      <c r="I76" s="96"/>
    </row>
    <row r="77" spans="1:9" hidden="1" x14ac:dyDescent="0.2">
      <c r="A77" s="105">
        <v>8.02</v>
      </c>
      <c r="B77" s="113" t="s">
        <v>128</v>
      </c>
      <c r="C77" s="107" t="s">
        <v>2</v>
      </c>
      <c r="D77" s="111">
        <v>50</v>
      </c>
      <c r="E77" s="117">
        <f>149900*1.52</f>
        <v>227848</v>
      </c>
      <c r="F77" s="117">
        <f t="shared" si="2"/>
        <v>11392400</v>
      </c>
      <c r="H77" s="96"/>
      <c r="I77" s="96"/>
    </row>
    <row r="78" spans="1:9" hidden="1" x14ac:dyDescent="0.2">
      <c r="A78" s="105">
        <v>8.0299999999999994</v>
      </c>
      <c r="B78" s="113" t="s">
        <v>89</v>
      </c>
      <c r="C78" s="107" t="s">
        <v>2</v>
      </c>
      <c r="D78" s="111">
        <v>90</v>
      </c>
      <c r="E78" s="117" t="e">
        <f>#REF!</f>
        <v>#REF!</v>
      </c>
      <c r="F78" s="117" t="e">
        <f t="shared" si="2"/>
        <v>#REF!</v>
      </c>
      <c r="H78" s="96"/>
      <c r="I78" s="96"/>
    </row>
    <row r="79" spans="1:9" hidden="1" x14ac:dyDescent="0.2">
      <c r="A79" s="105">
        <v>8.0399999999999991</v>
      </c>
      <c r="B79" s="113" t="s">
        <v>92</v>
      </c>
      <c r="C79" s="107" t="s">
        <v>2</v>
      </c>
      <c r="D79" s="111">
        <f>30*3</f>
        <v>90</v>
      </c>
      <c r="E79" s="117">
        <v>35000</v>
      </c>
      <c r="F79" s="117">
        <f t="shared" si="2"/>
        <v>3150000</v>
      </c>
      <c r="H79" s="96"/>
      <c r="I79" s="96"/>
    </row>
    <row r="80" spans="1:9" hidden="1" x14ac:dyDescent="0.2">
      <c r="A80" s="105">
        <v>8.0500000000000007</v>
      </c>
      <c r="B80" s="113" t="s">
        <v>93</v>
      </c>
      <c r="C80" s="107" t="s">
        <v>14</v>
      </c>
      <c r="D80" s="111">
        <f>200*3</f>
        <v>600</v>
      </c>
      <c r="E80" s="117" t="e">
        <f>#REF!*1.19</f>
        <v>#REF!</v>
      </c>
      <c r="F80" s="117" t="e">
        <f t="shared" si="2"/>
        <v>#REF!</v>
      </c>
      <c r="H80" s="96"/>
      <c r="I80" s="96"/>
    </row>
    <row r="81" spans="1:9" hidden="1" x14ac:dyDescent="0.2">
      <c r="A81" s="105">
        <v>8.06</v>
      </c>
      <c r="B81" s="113" t="s">
        <v>136</v>
      </c>
      <c r="C81" s="107" t="s">
        <v>14</v>
      </c>
      <c r="D81" s="111">
        <f>D80/3</f>
        <v>200</v>
      </c>
      <c r="E81" s="117" t="e">
        <f>#REF!*1.19</f>
        <v>#REF!</v>
      </c>
      <c r="F81" s="117" t="e">
        <f t="shared" si="2"/>
        <v>#REF!</v>
      </c>
      <c r="H81" s="96"/>
      <c r="I81" s="96"/>
    </row>
    <row r="82" spans="1:9" hidden="1" x14ac:dyDescent="0.2">
      <c r="A82" s="105">
        <v>8.07</v>
      </c>
      <c r="B82" s="113" t="s">
        <v>133</v>
      </c>
      <c r="C82" s="107" t="s">
        <v>98</v>
      </c>
      <c r="D82" s="111">
        <v>90</v>
      </c>
      <c r="E82" s="117">
        <v>35000</v>
      </c>
      <c r="F82" s="117">
        <f t="shared" si="2"/>
        <v>3150000</v>
      </c>
      <c r="H82" s="96"/>
      <c r="I82" s="96"/>
    </row>
    <row r="83" spans="1:9" hidden="1" x14ac:dyDescent="0.2">
      <c r="A83" s="105">
        <v>8.08</v>
      </c>
      <c r="B83" s="113" t="s">
        <v>100</v>
      </c>
      <c r="C83" s="107" t="s">
        <v>98</v>
      </c>
      <c r="D83" s="111">
        <v>2</v>
      </c>
      <c r="E83" s="117">
        <v>500000</v>
      </c>
      <c r="F83" s="117">
        <f t="shared" si="2"/>
        <v>1000000</v>
      </c>
      <c r="H83" s="96"/>
      <c r="I83" s="96"/>
    </row>
    <row r="84" spans="1:9" hidden="1" x14ac:dyDescent="0.2">
      <c r="A84" s="105">
        <v>8.09</v>
      </c>
      <c r="B84" s="113" t="s">
        <v>161</v>
      </c>
      <c r="C84" s="107" t="s">
        <v>122</v>
      </c>
      <c r="D84" s="111">
        <v>1</v>
      </c>
      <c r="E84" s="117">
        <v>38000000</v>
      </c>
      <c r="F84" s="117">
        <f t="shared" si="2"/>
        <v>38000000</v>
      </c>
      <c r="H84" s="96"/>
      <c r="I84" s="96"/>
    </row>
    <row r="85" spans="1:9" hidden="1" x14ac:dyDescent="0.2">
      <c r="A85" s="105"/>
      <c r="B85" s="113" t="s">
        <v>90</v>
      </c>
      <c r="C85" s="107" t="s">
        <v>2</v>
      </c>
      <c r="D85" s="111"/>
      <c r="E85" s="117"/>
      <c r="F85" s="117"/>
      <c r="H85" s="96"/>
      <c r="I85" s="96"/>
    </row>
    <row r="86" spans="1:9" hidden="1" x14ac:dyDescent="0.2">
      <c r="A86" s="105"/>
      <c r="B86" s="113" t="s">
        <v>91</v>
      </c>
      <c r="C86" s="107" t="s">
        <v>2</v>
      </c>
      <c r="D86" s="111"/>
      <c r="E86" s="117"/>
      <c r="F86" s="117"/>
      <c r="H86" s="96"/>
      <c r="I86" s="96"/>
    </row>
    <row r="87" spans="1:9" hidden="1" x14ac:dyDescent="0.2">
      <c r="A87" s="105"/>
      <c r="B87" s="113" t="s">
        <v>94</v>
      </c>
      <c r="C87" s="107" t="s">
        <v>14</v>
      </c>
      <c r="D87" s="111"/>
      <c r="E87" s="117"/>
      <c r="F87" s="117"/>
      <c r="H87" s="96"/>
      <c r="I87" s="96"/>
    </row>
    <row r="88" spans="1:9" hidden="1" x14ac:dyDescent="0.2">
      <c r="A88" s="105"/>
      <c r="B88" s="113" t="s">
        <v>95</v>
      </c>
      <c r="C88" s="107" t="s">
        <v>96</v>
      </c>
      <c r="D88" s="111"/>
      <c r="E88" s="117"/>
      <c r="F88" s="117"/>
      <c r="H88" s="96"/>
      <c r="I88" s="96"/>
    </row>
    <row r="89" spans="1:9" hidden="1" x14ac:dyDescent="0.2">
      <c r="A89" s="105"/>
      <c r="B89" s="113" t="s">
        <v>97</v>
      </c>
      <c r="C89" s="107" t="s">
        <v>96</v>
      </c>
      <c r="D89" s="111"/>
      <c r="E89" s="117"/>
      <c r="F89" s="117"/>
      <c r="H89" s="96"/>
      <c r="I89" s="96"/>
    </row>
    <row r="90" spans="1:9" hidden="1" x14ac:dyDescent="0.2">
      <c r="A90" s="105"/>
      <c r="B90" s="113" t="s">
        <v>99</v>
      </c>
      <c r="C90" s="107" t="s">
        <v>98</v>
      </c>
      <c r="D90" s="111"/>
      <c r="E90" s="117"/>
      <c r="F90" s="117"/>
      <c r="H90" s="96"/>
      <c r="I90" s="96"/>
    </row>
    <row r="91" spans="1:9" hidden="1" x14ac:dyDescent="0.2">
      <c r="A91" s="105"/>
      <c r="B91" s="113" t="s">
        <v>101</v>
      </c>
      <c r="C91" s="107" t="s">
        <v>14</v>
      </c>
      <c r="D91" s="111"/>
      <c r="E91" s="117"/>
      <c r="F91" s="117"/>
      <c r="H91" s="96"/>
      <c r="I91" s="96"/>
    </row>
    <row r="92" spans="1:9" hidden="1" x14ac:dyDescent="0.2">
      <c r="A92" s="105"/>
      <c r="B92" s="113" t="s">
        <v>102</v>
      </c>
      <c r="C92" s="107" t="s">
        <v>14</v>
      </c>
      <c r="D92" s="111"/>
      <c r="E92" s="117"/>
      <c r="F92" s="117"/>
      <c r="H92" s="96"/>
      <c r="I92" s="96"/>
    </row>
    <row r="93" spans="1:9" hidden="1" x14ac:dyDescent="0.2">
      <c r="A93" s="105"/>
      <c r="B93" s="113" t="s">
        <v>103</v>
      </c>
      <c r="C93" s="107" t="s">
        <v>2</v>
      </c>
      <c r="D93" s="111"/>
      <c r="E93" s="117"/>
      <c r="F93" s="117"/>
      <c r="H93" s="96"/>
      <c r="I93" s="96"/>
    </row>
    <row r="94" spans="1:9" ht="28" hidden="1" x14ac:dyDescent="0.2">
      <c r="A94" s="105"/>
      <c r="B94" s="113" t="s">
        <v>104</v>
      </c>
      <c r="C94" s="107" t="s">
        <v>2</v>
      </c>
      <c r="D94" s="111"/>
      <c r="E94" s="117"/>
      <c r="F94" s="117"/>
      <c r="H94" s="96"/>
      <c r="I94" s="96"/>
    </row>
    <row r="95" spans="1:9" hidden="1" x14ac:dyDescent="0.2">
      <c r="A95" s="105"/>
      <c r="B95" s="113" t="s">
        <v>105</v>
      </c>
      <c r="C95" s="107" t="s">
        <v>2</v>
      </c>
      <c r="D95" s="111"/>
      <c r="E95" s="117"/>
      <c r="F95" s="117"/>
      <c r="H95" s="96"/>
      <c r="I95" s="96"/>
    </row>
    <row r="96" spans="1:9" hidden="1" x14ac:dyDescent="0.2">
      <c r="A96" s="105"/>
      <c r="B96" s="113" t="s">
        <v>106</v>
      </c>
      <c r="C96" s="107" t="s">
        <v>98</v>
      </c>
      <c r="D96" s="111"/>
      <c r="E96" s="117"/>
      <c r="F96" s="117"/>
      <c r="H96" s="96"/>
      <c r="I96" s="96"/>
    </row>
    <row r="97" spans="1:9" ht="28" hidden="1" x14ac:dyDescent="0.2">
      <c r="A97" s="105"/>
      <c r="B97" s="113" t="s">
        <v>107</v>
      </c>
      <c r="C97" s="107" t="s">
        <v>2</v>
      </c>
      <c r="D97" s="111"/>
      <c r="E97" s="117"/>
      <c r="F97" s="117"/>
      <c r="H97" s="96"/>
      <c r="I97" s="96"/>
    </row>
    <row r="98" spans="1:9" ht="28" hidden="1" x14ac:dyDescent="0.2">
      <c r="A98" s="105"/>
      <c r="B98" s="113" t="s">
        <v>108</v>
      </c>
      <c r="C98" s="107" t="s">
        <v>2</v>
      </c>
      <c r="D98" s="111"/>
      <c r="E98" s="117"/>
      <c r="F98" s="117"/>
      <c r="H98" s="96"/>
      <c r="I98" s="96"/>
    </row>
    <row r="99" spans="1:9" hidden="1" x14ac:dyDescent="0.2">
      <c r="A99" s="105"/>
      <c r="B99" s="113" t="s">
        <v>109</v>
      </c>
      <c r="C99" s="107" t="s">
        <v>2</v>
      </c>
      <c r="D99" s="111"/>
      <c r="E99" s="117"/>
      <c r="F99" s="117"/>
      <c r="H99" s="96"/>
      <c r="I99" s="96"/>
    </row>
    <row r="100" spans="1:9" ht="28" hidden="1" x14ac:dyDescent="0.2">
      <c r="A100" s="105"/>
      <c r="B100" s="113" t="s">
        <v>110</v>
      </c>
      <c r="C100" s="107" t="s">
        <v>9</v>
      </c>
      <c r="D100" s="111"/>
      <c r="E100" s="117"/>
      <c r="F100" s="117"/>
      <c r="H100" s="96"/>
      <c r="I100" s="96"/>
    </row>
    <row r="101" spans="1:9" hidden="1" x14ac:dyDescent="0.2">
      <c r="A101" s="105"/>
      <c r="B101" s="113" t="s">
        <v>111</v>
      </c>
      <c r="C101" s="107" t="s">
        <v>9</v>
      </c>
      <c r="D101" s="111"/>
      <c r="E101" s="117"/>
      <c r="F101" s="117"/>
      <c r="H101" s="96"/>
      <c r="I101" s="96"/>
    </row>
    <row r="102" spans="1:9" ht="28" hidden="1" x14ac:dyDescent="0.2">
      <c r="A102" s="105"/>
      <c r="B102" s="113" t="s">
        <v>112</v>
      </c>
      <c r="C102" s="107" t="s">
        <v>98</v>
      </c>
      <c r="D102" s="111"/>
      <c r="E102" s="117"/>
      <c r="F102" s="117"/>
      <c r="H102" s="96"/>
      <c r="I102" s="96"/>
    </row>
    <row r="103" spans="1:9" hidden="1" x14ac:dyDescent="0.2">
      <c r="A103" s="105"/>
      <c r="B103" s="113" t="s">
        <v>118</v>
      </c>
      <c r="C103" s="107" t="s">
        <v>98</v>
      </c>
      <c r="D103" s="111"/>
      <c r="E103" s="117"/>
      <c r="F103" s="117"/>
      <c r="H103" s="96"/>
      <c r="I103" s="96"/>
    </row>
    <row r="104" spans="1:9" hidden="1" x14ac:dyDescent="0.2">
      <c r="A104" s="105"/>
      <c r="B104" s="113" t="s">
        <v>127</v>
      </c>
      <c r="C104" s="107"/>
      <c r="D104" s="111"/>
      <c r="E104" s="117"/>
      <c r="F104" s="117"/>
      <c r="H104" s="96"/>
      <c r="I104" s="96"/>
    </row>
    <row r="105" spans="1:9" hidden="1" x14ac:dyDescent="0.2">
      <c r="A105" s="105"/>
      <c r="B105" s="113"/>
      <c r="C105" s="107"/>
      <c r="D105" s="111"/>
      <c r="E105" s="117"/>
      <c r="F105" s="117"/>
      <c r="H105" s="96"/>
      <c r="I105" s="96"/>
    </row>
    <row r="106" spans="1:9" x14ac:dyDescent="0.2">
      <c r="A106" s="137">
        <v>9</v>
      </c>
      <c r="B106" s="138" t="s">
        <v>138</v>
      </c>
      <c r="C106" s="139"/>
      <c r="D106" s="140"/>
      <c r="E106" s="141"/>
      <c r="F106" s="141" t="e">
        <f>SUM(F107:F114)</f>
        <v>#REF!</v>
      </c>
      <c r="G106" s="142"/>
      <c r="H106" s="143"/>
      <c r="I106" s="143"/>
    </row>
    <row r="107" spans="1:9" hidden="1" x14ac:dyDescent="0.2">
      <c r="A107" s="108">
        <v>9.01</v>
      </c>
      <c r="B107" s="113" t="s">
        <v>137</v>
      </c>
      <c r="C107" s="107" t="s">
        <v>98</v>
      </c>
      <c r="D107" s="111">
        <f>305*2+100</f>
        <v>710</v>
      </c>
      <c r="E107" s="117" t="e">
        <f>#REF!*1.19</f>
        <v>#REF!</v>
      </c>
      <c r="F107" s="117" t="e">
        <f t="shared" ref="F107:F114" si="3">D107*E107</f>
        <v>#REF!</v>
      </c>
      <c r="G107" s="123"/>
      <c r="H107" s="122"/>
      <c r="I107" s="122"/>
    </row>
    <row r="108" spans="1:9" hidden="1" x14ac:dyDescent="0.2">
      <c r="A108" s="108">
        <v>9.02</v>
      </c>
      <c r="B108" s="113" t="s">
        <v>162</v>
      </c>
      <c r="C108" s="107" t="s">
        <v>14</v>
      </c>
      <c r="D108" s="111">
        <f>25*3</f>
        <v>75</v>
      </c>
      <c r="E108" s="117" t="e">
        <f>#REF!*1.19</f>
        <v>#REF!</v>
      </c>
      <c r="F108" s="117" t="e">
        <f t="shared" si="3"/>
        <v>#REF!</v>
      </c>
      <c r="G108" s="124"/>
      <c r="H108" s="122"/>
      <c r="I108" s="122"/>
    </row>
    <row r="109" spans="1:9" hidden="1" x14ac:dyDescent="0.2">
      <c r="A109" s="108">
        <v>9.0299999999999994</v>
      </c>
      <c r="B109" s="113" t="s">
        <v>163</v>
      </c>
      <c r="C109" s="107" t="s">
        <v>98</v>
      </c>
      <c r="D109" s="111">
        <v>20</v>
      </c>
      <c r="E109" s="117" t="e">
        <f>#REF!*1.19</f>
        <v>#REF!</v>
      </c>
      <c r="F109" s="117" t="e">
        <f t="shared" si="3"/>
        <v>#REF!</v>
      </c>
      <c r="H109" s="96"/>
      <c r="I109" s="96"/>
    </row>
    <row r="110" spans="1:9" hidden="1" x14ac:dyDescent="0.2">
      <c r="A110" s="108">
        <v>9.0399999999999991</v>
      </c>
      <c r="B110" s="113" t="s">
        <v>139</v>
      </c>
      <c r="C110" s="107" t="s">
        <v>98</v>
      </c>
      <c r="D110" s="111">
        <v>22</v>
      </c>
      <c r="E110" s="117">
        <v>80000</v>
      </c>
      <c r="F110" s="117">
        <f t="shared" si="3"/>
        <v>1760000</v>
      </c>
      <c r="H110" s="96"/>
      <c r="I110" s="96"/>
    </row>
    <row r="111" spans="1:9" hidden="1" x14ac:dyDescent="0.2">
      <c r="A111" s="108">
        <v>9.0500000000000007</v>
      </c>
      <c r="B111" s="113" t="s">
        <v>140</v>
      </c>
      <c r="C111" s="107" t="s">
        <v>98</v>
      </c>
      <c r="D111" s="158">
        <v>4</v>
      </c>
      <c r="E111" s="117">
        <v>600000</v>
      </c>
      <c r="F111" s="117">
        <f t="shared" si="3"/>
        <v>2400000</v>
      </c>
      <c r="G111" t="s">
        <v>264</v>
      </c>
      <c r="H111" s="96"/>
      <c r="I111" s="96"/>
    </row>
    <row r="112" spans="1:9" hidden="1" x14ac:dyDescent="0.2">
      <c r="A112" s="108">
        <v>9.06</v>
      </c>
      <c r="B112" s="113" t="s">
        <v>141</v>
      </c>
      <c r="C112" s="107" t="s">
        <v>98</v>
      </c>
      <c r="D112" s="158">
        <v>4</v>
      </c>
      <c r="E112" s="117">
        <v>200000</v>
      </c>
      <c r="F112" s="117">
        <f t="shared" si="3"/>
        <v>800000</v>
      </c>
      <c r="G112" t="s">
        <v>264</v>
      </c>
      <c r="H112" s="96"/>
      <c r="I112" s="96"/>
    </row>
    <row r="113" spans="1:9" s="165" customFormat="1" hidden="1" x14ac:dyDescent="0.2">
      <c r="A113" s="159">
        <v>9.07</v>
      </c>
      <c r="B113" s="160" t="s">
        <v>142</v>
      </c>
      <c r="C113" s="161" t="s">
        <v>98</v>
      </c>
      <c r="D113" s="162">
        <v>0</v>
      </c>
      <c r="E113" s="163">
        <v>600000</v>
      </c>
      <c r="F113" s="163">
        <f t="shared" si="3"/>
        <v>0</v>
      </c>
      <c r="G113" s="165" t="s">
        <v>265</v>
      </c>
      <c r="H113" s="166"/>
      <c r="I113" s="166"/>
    </row>
    <row r="114" spans="1:9" s="165" customFormat="1" hidden="1" x14ac:dyDescent="0.2">
      <c r="A114" s="159">
        <v>9.08</v>
      </c>
      <c r="B114" s="160" t="s">
        <v>143</v>
      </c>
      <c r="C114" s="161" t="s">
        <v>98</v>
      </c>
      <c r="D114" s="162">
        <v>0</v>
      </c>
      <c r="E114" s="163">
        <v>400000</v>
      </c>
      <c r="F114" s="163">
        <f t="shared" si="3"/>
        <v>0</v>
      </c>
      <c r="G114" s="165" t="s">
        <v>265</v>
      </c>
      <c r="H114" s="166"/>
      <c r="I114" s="166"/>
    </row>
    <row r="115" spans="1:9" hidden="1" x14ac:dyDescent="0.2">
      <c r="A115" s="105"/>
      <c r="B115" s="113"/>
      <c r="C115" s="107"/>
      <c r="D115" s="111"/>
      <c r="E115" s="117"/>
      <c r="F115" s="117"/>
      <c r="H115" s="96"/>
      <c r="I115" s="96"/>
    </row>
    <row r="116" spans="1:9" x14ac:dyDescent="0.2">
      <c r="A116" s="137">
        <v>10</v>
      </c>
      <c r="B116" s="138" t="s">
        <v>144</v>
      </c>
      <c r="C116" s="139"/>
      <c r="D116" s="140"/>
      <c r="E116" s="141"/>
      <c r="F116" s="141" t="e">
        <f>SUM(F117:F122)</f>
        <v>#REF!</v>
      </c>
      <c r="G116" s="142"/>
      <c r="H116" s="143"/>
      <c r="I116" s="143"/>
    </row>
    <row r="117" spans="1:9" hidden="1" x14ac:dyDescent="0.2">
      <c r="A117" s="105">
        <v>10.01</v>
      </c>
      <c r="B117" s="113" t="s">
        <v>137</v>
      </c>
      <c r="C117" s="107" t="s">
        <v>98</v>
      </c>
      <c r="D117" s="111">
        <v>100</v>
      </c>
      <c r="E117" s="117" t="e">
        <f>#REF!*1.19</f>
        <v>#REF!</v>
      </c>
      <c r="F117" s="117" t="e">
        <f t="shared" ref="F117:F122" si="4">D117*E117</f>
        <v>#REF!</v>
      </c>
      <c r="H117" s="96"/>
      <c r="I117" s="96"/>
    </row>
    <row r="118" spans="1:9" hidden="1" x14ac:dyDescent="0.2">
      <c r="A118" s="105">
        <v>10.02</v>
      </c>
      <c r="B118" s="113" t="s">
        <v>162</v>
      </c>
      <c r="C118" s="107" t="s">
        <v>98</v>
      </c>
      <c r="D118" s="111">
        <f>25*3</f>
        <v>75</v>
      </c>
      <c r="E118" s="117" t="e">
        <f>#REF!*1.19</f>
        <v>#REF!</v>
      </c>
      <c r="F118" s="117" t="e">
        <f t="shared" si="4"/>
        <v>#REF!</v>
      </c>
      <c r="H118" s="96"/>
      <c r="I118" s="96"/>
    </row>
    <row r="119" spans="1:9" hidden="1" x14ac:dyDescent="0.2">
      <c r="A119" s="105">
        <v>10.029999999999999</v>
      </c>
      <c r="B119" s="113" t="s">
        <v>145</v>
      </c>
      <c r="C119" s="107" t="s">
        <v>98</v>
      </c>
      <c r="D119" s="111">
        <v>3</v>
      </c>
      <c r="E119" s="117">
        <v>650000</v>
      </c>
      <c r="F119" s="117">
        <f t="shared" si="4"/>
        <v>1950000</v>
      </c>
      <c r="H119" s="96"/>
      <c r="I119" s="96"/>
    </row>
    <row r="120" spans="1:9" hidden="1" x14ac:dyDescent="0.2">
      <c r="A120" s="105">
        <v>10.039999999999999</v>
      </c>
      <c r="B120" s="113" t="s">
        <v>146</v>
      </c>
      <c r="C120" s="107" t="s">
        <v>147</v>
      </c>
      <c r="D120" s="111">
        <v>4</v>
      </c>
      <c r="E120" s="117">
        <v>650000</v>
      </c>
      <c r="F120" s="117">
        <f t="shared" si="4"/>
        <v>2600000</v>
      </c>
      <c r="H120" s="96"/>
      <c r="I120" s="96"/>
    </row>
    <row r="121" spans="1:9" hidden="1" x14ac:dyDescent="0.2">
      <c r="A121" s="105">
        <v>10.050000000000001</v>
      </c>
      <c r="B121" s="113" t="s">
        <v>148</v>
      </c>
      <c r="C121" s="107" t="s">
        <v>98</v>
      </c>
      <c r="D121" s="111">
        <v>1</v>
      </c>
      <c r="E121" s="117">
        <v>2800000</v>
      </c>
      <c r="F121" s="117">
        <f t="shared" si="4"/>
        <v>2800000</v>
      </c>
      <c r="H121" s="96"/>
      <c r="I121" s="96"/>
    </row>
    <row r="122" spans="1:9" hidden="1" x14ac:dyDescent="0.2">
      <c r="A122" s="105">
        <v>10.06</v>
      </c>
      <c r="B122" s="113" t="s">
        <v>149</v>
      </c>
      <c r="C122" s="107" t="s">
        <v>98</v>
      </c>
      <c r="D122" s="111">
        <v>1</v>
      </c>
      <c r="E122" s="117">
        <v>900000</v>
      </c>
      <c r="F122" s="117">
        <f t="shared" si="4"/>
        <v>900000</v>
      </c>
      <c r="H122" s="96"/>
      <c r="I122" s="96"/>
    </row>
    <row r="123" spans="1:9" hidden="1" x14ac:dyDescent="0.2">
      <c r="A123" s="105"/>
      <c r="B123" s="113"/>
      <c r="C123" s="107"/>
      <c r="D123" s="111"/>
      <c r="E123" s="117"/>
      <c r="F123" s="117"/>
      <c r="H123" s="96"/>
      <c r="I123" s="96"/>
    </row>
    <row r="124" spans="1:9" hidden="1" x14ac:dyDescent="0.2">
      <c r="A124" s="105"/>
      <c r="B124" s="113"/>
      <c r="C124" s="107"/>
      <c r="D124" s="111"/>
      <c r="E124" s="117"/>
      <c r="F124" s="117"/>
      <c r="H124" s="96"/>
      <c r="I124" s="96"/>
    </row>
    <row r="125" spans="1:9" hidden="1" x14ac:dyDescent="0.2">
      <c r="A125" s="105"/>
      <c r="B125" s="113"/>
      <c r="C125" s="107"/>
      <c r="D125" s="111"/>
      <c r="E125" s="117"/>
      <c r="F125" s="117"/>
      <c r="H125" s="96"/>
      <c r="I125" s="96"/>
    </row>
    <row r="126" spans="1:9" hidden="1" x14ac:dyDescent="0.2">
      <c r="A126" s="105"/>
      <c r="B126" s="113"/>
      <c r="C126" s="107"/>
      <c r="D126" s="111"/>
      <c r="E126" s="117"/>
      <c r="F126" s="117"/>
      <c r="H126" s="96"/>
      <c r="I126" s="96"/>
    </row>
    <row r="127" spans="1:9" x14ac:dyDescent="0.2">
      <c r="A127" s="137">
        <v>12</v>
      </c>
      <c r="B127" s="138" t="s">
        <v>167</v>
      </c>
      <c r="C127" s="139"/>
      <c r="D127" s="140"/>
      <c r="E127" s="141"/>
      <c r="F127" s="141">
        <f>SUM(F128)</f>
        <v>361700.69999999995</v>
      </c>
      <c r="G127" s="142"/>
      <c r="H127" s="143"/>
      <c r="I127" s="143"/>
    </row>
    <row r="128" spans="1:9" ht="15.75" hidden="1" customHeight="1" x14ac:dyDescent="0.2">
      <c r="A128" s="105">
        <v>12.01</v>
      </c>
      <c r="B128" s="155" t="s">
        <v>168</v>
      </c>
      <c r="C128" s="107" t="s">
        <v>2</v>
      </c>
      <c r="D128" s="111">
        <v>3</v>
      </c>
      <c r="E128" s="149">
        <v>120566.9</v>
      </c>
      <c r="F128" s="117">
        <f>D128*E128</f>
        <v>361700.69999999995</v>
      </c>
      <c r="H128" s="96"/>
      <c r="I128" s="96"/>
    </row>
    <row r="129" spans="1:9" hidden="1" x14ac:dyDescent="0.2">
      <c r="A129" s="105"/>
      <c r="B129" s="113"/>
      <c r="C129" s="107"/>
      <c r="D129" s="111"/>
      <c r="E129" s="117"/>
      <c r="F129" s="117"/>
      <c r="H129" s="96"/>
      <c r="I129" s="96"/>
    </row>
    <row r="130" spans="1:9" x14ac:dyDescent="0.2">
      <c r="A130" s="137">
        <v>13</v>
      </c>
      <c r="B130" s="138" t="s">
        <v>166</v>
      </c>
      <c r="C130" s="139"/>
      <c r="D130" s="140"/>
      <c r="E130" s="141"/>
      <c r="F130" s="141">
        <f>SUM(F131:F132)</f>
        <v>6020400</v>
      </c>
      <c r="G130" s="142"/>
      <c r="H130" s="143"/>
      <c r="I130" s="143"/>
    </row>
    <row r="131" spans="1:9" hidden="1" x14ac:dyDescent="0.2">
      <c r="A131" s="105">
        <v>13.01</v>
      </c>
      <c r="B131" s="113" t="s">
        <v>164</v>
      </c>
      <c r="C131" s="107" t="s">
        <v>98</v>
      </c>
      <c r="D131" s="111">
        <v>3</v>
      </c>
      <c r="E131" s="119">
        <v>979900</v>
      </c>
      <c r="F131" s="117">
        <f>D131*E131</f>
        <v>2939700</v>
      </c>
      <c r="H131" s="96"/>
      <c r="I131" s="96"/>
    </row>
    <row r="132" spans="1:9" hidden="1" x14ac:dyDescent="0.2">
      <c r="A132" s="105">
        <v>13.02</v>
      </c>
      <c r="B132" s="113" t="s">
        <v>165</v>
      </c>
      <c r="C132" s="107" t="s">
        <v>98</v>
      </c>
      <c r="D132" s="111">
        <v>3</v>
      </c>
      <c r="E132" s="117">
        <v>1026900</v>
      </c>
      <c r="F132" s="117">
        <f>D132*E132</f>
        <v>3080700</v>
      </c>
      <c r="H132" s="96"/>
      <c r="I132" s="96"/>
    </row>
    <row r="133" spans="1:9" hidden="1" x14ac:dyDescent="0.2">
      <c r="A133" s="105"/>
      <c r="B133" s="113"/>
      <c r="C133" s="107"/>
      <c r="D133" s="111"/>
      <c r="E133" s="117"/>
      <c r="F133" s="117"/>
      <c r="H133" s="96"/>
      <c r="I133" s="96"/>
    </row>
    <row r="134" spans="1:9" x14ac:dyDescent="0.2">
      <c r="A134" s="137">
        <v>14</v>
      </c>
      <c r="B134" s="138" t="s">
        <v>113</v>
      </c>
      <c r="C134" s="139"/>
      <c r="D134" s="140"/>
      <c r="E134" s="141"/>
      <c r="F134" s="141" t="e">
        <f>SUM(F135)</f>
        <v>#REF!</v>
      </c>
      <c r="G134" s="142"/>
      <c r="H134" s="143"/>
      <c r="I134" s="143"/>
    </row>
    <row r="135" spans="1:9" hidden="1" x14ac:dyDescent="0.2">
      <c r="A135" s="105">
        <v>14.01</v>
      </c>
      <c r="B135" s="113" t="s">
        <v>134</v>
      </c>
      <c r="C135" s="107" t="s">
        <v>135</v>
      </c>
      <c r="D135" s="111">
        <v>6</v>
      </c>
      <c r="E135" s="117" t="e">
        <f>#REF!*1.19</f>
        <v>#REF!</v>
      </c>
      <c r="F135" s="117" t="e">
        <f>D135*E135</f>
        <v>#REF!</v>
      </c>
      <c r="H135" s="96"/>
      <c r="I135" s="96"/>
    </row>
    <row r="136" spans="1:9" hidden="1" x14ac:dyDescent="0.2">
      <c r="A136" s="105"/>
      <c r="B136" s="113"/>
      <c r="C136" s="126"/>
      <c r="D136" s="127"/>
      <c r="E136" s="128"/>
      <c r="F136" s="128"/>
      <c r="H136" s="96"/>
      <c r="I136" s="96"/>
    </row>
    <row r="137" spans="1:9" x14ac:dyDescent="0.2">
      <c r="A137" s="137">
        <v>15</v>
      </c>
      <c r="B137" s="138" t="s">
        <v>200</v>
      </c>
      <c r="C137" s="139"/>
      <c r="D137" s="140"/>
      <c r="E137" s="141"/>
      <c r="F137" s="141">
        <f>SUM(F139:F218)</f>
        <v>780144960</v>
      </c>
      <c r="G137" s="142"/>
      <c r="H137" s="143"/>
      <c r="I137" s="143"/>
    </row>
    <row r="138" spans="1:9" hidden="1" x14ac:dyDescent="0.2">
      <c r="A138" s="105"/>
      <c r="B138" s="113"/>
      <c r="C138" s="107"/>
      <c r="D138" s="111"/>
      <c r="E138" s="117"/>
      <c r="F138" s="117"/>
      <c r="H138" s="96"/>
      <c r="I138" s="96"/>
    </row>
    <row r="139" spans="1:9" ht="56" hidden="1" x14ac:dyDescent="0.2">
      <c r="A139" s="105">
        <v>15.01</v>
      </c>
      <c r="B139" s="113" t="s">
        <v>171</v>
      </c>
      <c r="C139" s="107" t="s">
        <v>2</v>
      </c>
      <c r="D139" s="111">
        <v>4</v>
      </c>
      <c r="E139" s="117">
        <f>36400000*1.19/4</f>
        <v>10829000</v>
      </c>
      <c r="F139" s="117">
        <f t="shared" ref="F139:F201" si="5">D139*E139</f>
        <v>43316000</v>
      </c>
      <c r="H139" s="96"/>
      <c r="I139" s="96"/>
    </row>
    <row r="140" spans="1:9" ht="28" hidden="1" x14ac:dyDescent="0.2">
      <c r="A140" s="105">
        <v>15.02</v>
      </c>
      <c r="B140" s="113" t="s">
        <v>172</v>
      </c>
      <c r="C140" s="107" t="s">
        <v>2</v>
      </c>
      <c r="D140" s="111">
        <v>3</v>
      </c>
      <c r="E140" s="117">
        <f>1750000*1.19</f>
        <v>2082500</v>
      </c>
      <c r="F140" s="117">
        <f t="shared" si="5"/>
        <v>6247500</v>
      </c>
      <c r="H140" s="96"/>
      <c r="I140" s="96"/>
    </row>
    <row r="141" spans="1:9" hidden="1" x14ac:dyDescent="0.2">
      <c r="A141" s="105">
        <v>15.03</v>
      </c>
      <c r="B141" s="113" t="s">
        <v>174</v>
      </c>
      <c r="C141" s="107" t="s">
        <v>2</v>
      </c>
      <c r="D141" s="111">
        <v>12</v>
      </c>
      <c r="E141" s="117">
        <f>1050000*1.19</f>
        <v>1249500</v>
      </c>
      <c r="F141" s="117">
        <f t="shared" si="5"/>
        <v>14994000</v>
      </c>
      <c r="H141" s="96"/>
      <c r="I141" s="96"/>
    </row>
    <row r="142" spans="1:9" hidden="1" x14ac:dyDescent="0.2">
      <c r="A142" s="105">
        <v>15.04</v>
      </c>
      <c r="B142" s="113" t="s">
        <v>176</v>
      </c>
      <c r="C142" s="107" t="s">
        <v>2</v>
      </c>
      <c r="D142" s="111">
        <v>12</v>
      </c>
      <c r="E142" s="117">
        <f>675000*1.19</f>
        <v>803250</v>
      </c>
      <c r="F142" s="117">
        <f t="shared" si="5"/>
        <v>9639000</v>
      </c>
      <c r="H142" s="96"/>
      <c r="I142" s="96"/>
    </row>
    <row r="143" spans="1:9" hidden="1" x14ac:dyDescent="0.2">
      <c r="A143" s="105">
        <v>15.05</v>
      </c>
      <c r="B143" s="113" t="s">
        <v>177</v>
      </c>
      <c r="C143" s="107" t="s">
        <v>2</v>
      </c>
      <c r="D143" s="111">
        <v>12</v>
      </c>
      <c r="E143" s="117">
        <f>875000*1.19</f>
        <v>1041250</v>
      </c>
      <c r="F143" s="117">
        <f t="shared" si="5"/>
        <v>12495000</v>
      </c>
      <c r="H143" s="96"/>
      <c r="I143" s="96"/>
    </row>
    <row r="144" spans="1:9" hidden="1" x14ac:dyDescent="0.2">
      <c r="A144" s="105">
        <v>15.06</v>
      </c>
      <c r="B144" s="113" t="s">
        <v>178</v>
      </c>
      <c r="C144" s="107" t="s">
        <v>2</v>
      </c>
      <c r="D144" s="111">
        <v>24</v>
      </c>
      <c r="E144" s="117">
        <f>275000*1.19</f>
        <v>327250</v>
      </c>
      <c r="F144" s="117">
        <f t="shared" si="5"/>
        <v>7854000</v>
      </c>
      <c r="H144" s="96"/>
      <c r="I144" s="96"/>
    </row>
    <row r="145" spans="1:9" hidden="1" x14ac:dyDescent="0.2">
      <c r="A145" s="105">
        <v>15.07</v>
      </c>
      <c r="B145" s="113" t="s">
        <v>179</v>
      </c>
      <c r="C145" s="107" t="s">
        <v>2</v>
      </c>
      <c r="D145" s="111">
        <v>4</v>
      </c>
      <c r="E145" s="117">
        <f>700000*1.19</f>
        <v>833000</v>
      </c>
      <c r="F145" s="117">
        <f t="shared" si="5"/>
        <v>3332000</v>
      </c>
      <c r="H145" s="96"/>
      <c r="I145" s="96"/>
    </row>
    <row r="146" spans="1:9" hidden="1" x14ac:dyDescent="0.2">
      <c r="A146" s="105">
        <v>15.08</v>
      </c>
      <c r="B146" s="113" t="s">
        <v>180</v>
      </c>
      <c r="C146" s="107" t="s">
        <v>2</v>
      </c>
      <c r="D146" s="111">
        <v>3</v>
      </c>
      <c r="E146" s="117">
        <f>650000*1.19</f>
        <v>773500</v>
      </c>
      <c r="F146" s="117">
        <f t="shared" si="5"/>
        <v>2320500</v>
      </c>
      <c r="H146" s="96"/>
      <c r="I146" s="96"/>
    </row>
    <row r="147" spans="1:9" hidden="1" x14ac:dyDescent="0.2">
      <c r="A147" s="105">
        <v>15.09</v>
      </c>
      <c r="B147" s="113" t="s">
        <v>181</v>
      </c>
      <c r="C147" s="107" t="s">
        <v>2</v>
      </c>
      <c r="D147" s="111">
        <v>1</v>
      </c>
      <c r="E147" s="117">
        <f>550000*1.19</f>
        <v>654500</v>
      </c>
      <c r="F147" s="117">
        <f t="shared" si="5"/>
        <v>654500</v>
      </c>
      <c r="H147" s="96"/>
      <c r="I147" s="96"/>
    </row>
    <row r="148" spans="1:9" hidden="1" x14ac:dyDescent="0.2">
      <c r="A148" s="105">
        <v>15.1</v>
      </c>
      <c r="B148" s="113" t="s">
        <v>182</v>
      </c>
      <c r="C148" s="107" t="s">
        <v>2</v>
      </c>
      <c r="D148" s="111">
        <v>2</v>
      </c>
      <c r="E148" s="117">
        <f>310000*1.19</f>
        <v>368900</v>
      </c>
      <c r="F148" s="117">
        <f t="shared" si="5"/>
        <v>737800</v>
      </c>
      <c r="H148" s="96"/>
      <c r="I148" s="96"/>
    </row>
    <row r="149" spans="1:9" hidden="1" x14ac:dyDescent="0.2">
      <c r="A149" s="105">
        <v>15.11</v>
      </c>
      <c r="B149" s="113" t="s">
        <v>183</v>
      </c>
      <c r="C149" s="107" t="s">
        <v>2</v>
      </c>
      <c r="D149" s="111">
        <v>9</v>
      </c>
      <c r="E149" s="117">
        <f>350000*1.19</f>
        <v>416500</v>
      </c>
      <c r="F149" s="117">
        <f t="shared" si="5"/>
        <v>3748500</v>
      </c>
      <c r="H149" s="96"/>
      <c r="I149" s="96"/>
    </row>
    <row r="150" spans="1:9" hidden="1" x14ac:dyDescent="0.2">
      <c r="A150" s="105">
        <v>15.12</v>
      </c>
      <c r="B150" s="113" t="s">
        <v>184</v>
      </c>
      <c r="C150" s="107" t="s">
        <v>2</v>
      </c>
      <c r="D150" s="111">
        <v>50</v>
      </c>
      <c r="E150" s="117">
        <f>20000*1.19</f>
        <v>23800</v>
      </c>
      <c r="F150" s="117">
        <f t="shared" si="5"/>
        <v>1190000</v>
      </c>
      <c r="H150" s="96"/>
      <c r="I150" s="96"/>
    </row>
    <row r="151" spans="1:9" hidden="1" x14ac:dyDescent="0.2">
      <c r="A151" s="105">
        <v>15.13</v>
      </c>
      <c r="B151" s="113" t="s">
        <v>280</v>
      </c>
      <c r="C151" s="107" t="s">
        <v>2</v>
      </c>
      <c r="D151" s="111">
        <v>12</v>
      </c>
      <c r="E151" s="117">
        <f>20000*1.19</f>
        <v>23800</v>
      </c>
      <c r="F151" s="117">
        <f t="shared" si="5"/>
        <v>285600</v>
      </c>
      <c r="H151" s="96"/>
      <c r="I151" s="96"/>
    </row>
    <row r="152" spans="1:9" hidden="1" x14ac:dyDescent="0.2">
      <c r="A152" s="105"/>
      <c r="B152" s="150" t="s">
        <v>281</v>
      </c>
      <c r="C152" s="107"/>
      <c r="D152" s="111"/>
      <c r="E152" s="117"/>
      <c r="F152" s="117"/>
      <c r="H152" s="96"/>
      <c r="I152" s="96"/>
    </row>
    <row r="153" spans="1:9" ht="54.75" hidden="1" customHeight="1" x14ac:dyDescent="0.2">
      <c r="A153" s="105">
        <v>15.14</v>
      </c>
      <c r="B153" s="113" t="s">
        <v>185</v>
      </c>
      <c r="C153" s="107" t="s">
        <v>2</v>
      </c>
      <c r="D153" s="111">
        <v>4</v>
      </c>
      <c r="E153" s="117">
        <f>36400000*1.19/4</f>
        <v>10829000</v>
      </c>
      <c r="F153" s="117">
        <f t="shared" si="5"/>
        <v>43316000</v>
      </c>
      <c r="H153" s="96"/>
      <c r="I153" s="96"/>
    </row>
    <row r="154" spans="1:9" ht="28" hidden="1" x14ac:dyDescent="0.2">
      <c r="A154" s="105">
        <v>15.15</v>
      </c>
      <c r="B154" s="113" t="s">
        <v>186</v>
      </c>
      <c r="C154" s="107" t="s">
        <v>2</v>
      </c>
      <c r="D154" s="111">
        <v>2</v>
      </c>
      <c r="E154" s="117">
        <f>1750000*1.19</f>
        <v>2082500</v>
      </c>
      <c r="F154" s="117">
        <f t="shared" si="5"/>
        <v>4165000</v>
      </c>
      <c r="H154" s="96"/>
      <c r="I154" s="96"/>
    </row>
    <row r="155" spans="1:9" hidden="1" x14ac:dyDescent="0.2">
      <c r="A155" s="105"/>
      <c r="B155" s="150" t="s">
        <v>187</v>
      </c>
      <c r="C155" s="107"/>
      <c r="D155" s="111"/>
      <c r="E155" s="117"/>
      <c r="F155" s="117"/>
      <c r="H155" s="96"/>
      <c r="I155" s="96"/>
    </row>
    <row r="156" spans="1:9" hidden="1" x14ac:dyDescent="0.2">
      <c r="A156" s="105">
        <v>15.16</v>
      </c>
      <c r="B156" s="113" t="s">
        <v>188</v>
      </c>
      <c r="C156" s="107" t="s">
        <v>2</v>
      </c>
      <c r="D156" s="111">
        <v>4</v>
      </c>
      <c r="E156" s="117">
        <f>1150000*1.19</f>
        <v>1368500</v>
      </c>
      <c r="F156" s="117">
        <f t="shared" si="5"/>
        <v>5474000</v>
      </c>
      <c r="H156" s="96"/>
      <c r="I156" s="96"/>
    </row>
    <row r="157" spans="1:9" hidden="1" x14ac:dyDescent="0.2">
      <c r="A157" s="105">
        <v>15.17</v>
      </c>
      <c r="B157" s="113" t="s">
        <v>173</v>
      </c>
      <c r="C157" s="107" t="s">
        <v>2</v>
      </c>
      <c r="D157" s="111">
        <v>12</v>
      </c>
      <c r="E157" s="117">
        <f>1050000*1.19</f>
        <v>1249500</v>
      </c>
      <c r="F157" s="117">
        <f t="shared" si="5"/>
        <v>14994000</v>
      </c>
      <c r="H157" s="96"/>
      <c r="I157" s="96"/>
    </row>
    <row r="158" spans="1:9" hidden="1" x14ac:dyDescent="0.2">
      <c r="A158" s="105">
        <v>15.18</v>
      </c>
      <c r="B158" s="113" t="s">
        <v>175</v>
      </c>
      <c r="C158" s="107" t="s">
        <v>2</v>
      </c>
      <c r="D158" s="111">
        <v>11</v>
      </c>
      <c r="E158" s="117">
        <f>675000*1.19</f>
        <v>803250</v>
      </c>
      <c r="F158" s="117">
        <f t="shared" si="5"/>
        <v>8835750</v>
      </c>
      <c r="H158" s="96"/>
      <c r="I158" s="96"/>
    </row>
    <row r="159" spans="1:9" hidden="1" x14ac:dyDescent="0.2">
      <c r="A159" s="105">
        <v>15.19</v>
      </c>
      <c r="B159" s="113" t="s">
        <v>189</v>
      </c>
      <c r="C159" s="107" t="s">
        <v>2</v>
      </c>
      <c r="D159" s="111">
        <v>15</v>
      </c>
      <c r="E159" s="117">
        <f>875000*1.19</f>
        <v>1041250</v>
      </c>
      <c r="F159" s="117">
        <f t="shared" si="5"/>
        <v>15618750</v>
      </c>
      <c r="H159" s="96"/>
      <c r="I159" s="96"/>
    </row>
    <row r="160" spans="1:9" hidden="1" x14ac:dyDescent="0.2">
      <c r="A160" s="105">
        <v>15.2</v>
      </c>
      <c r="B160" s="113" t="s">
        <v>190</v>
      </c>
      <c r="C160" s="107" t="s">
        <v>2</v>
      </c>
      <c r="D160" s="111">
        <v>3</v>
      </c>
      <c r="E160" s="117">
        <f>240000*1.19</f>
        <v>285600</v>
      </c>
      <c r="F160" s="117">
        <f t="shared" si="5"/>
        <v>856800</v>
      </c>
      <c r="H160" s="96"/>
      <c r="I160" s="96"/>
    </row>
    <row r="161" spans="1:9" hidden="1" x14ac:dyDescent="0.2">
      <c r="A161" s="105">
        <v>15.21</v>
      </c>
      <c r="B161" s="113" t="s">
        <v>191</v>
      </c>
      <c r="C161" s="107" t="s">
        <v>2</v>
      </c>
      <c r="D161" s="111">
        <v>16</v>
      </c>
      <c r="E161" s="117">
        <f>275000*1.19</f>
        <v>327250</v>
      </c>
      <c r="F161" s="117">
        <f t="shared" si="5"/>
        <v>5236000</v>
      </c>
      <c r="H161" s="96"/>
      <c r="I161" s="96"/>
    </row>
    <row r="162" spans="1:9" hidden="1" x14ac:dyDescent="0.2">
      <c r="A162" s="105">
        <v>15.22</v>
      </c>
      <c r="B162" s="113" t="s">
        <v>169</v>
      </c>
      <c r="C162" s="107" t="s">
        <v>2</v>
      </c>
      <c r="D162" s="111">
        <v>6</v>
      </c>
      <c r="E162" s="117">
        <f>700000*1.19</f>
        <v>833000</v>
      </c>
      <c r="F162" s="117">
        <f t="shared" si="5"/>
        <v>4998000</v>
      </c>
      <c r="H162" s="96"/>
      <c r="I162" s="96"/>
    </row>
    <row r="163" spans="1:9" hidden="1" x14ac:dyDescent="0.2">
      <c r="A163" s="105">
        <v>15.23</v>
      </c>
      <c r="B163" s="113" t="s">
        <v>192</v>
      </c>
      <c r="C163" s="107" t="s">
        <v>2</v>
      </c>
      <c r="D163" s="111">
        <v>3</v>
      </c>
      <c r="E163" s="117">
        <f>310000*1.19</f>
        <v>368900</v>
      </c>
      <c r="F163" s="117">
        <f t="shared" si="5"/>
        <v>1106700</v>
      </c>
      <c r="H163" s="96"/>
      <c r="I163" s="96"/>
    </row>
    <row r="164" spans="1:9" hidden="1" x14ac:dyDescent="0.2">
      <c r="A164" s="105">
        <v>15.24</v>
      </c>
      <c r="B164" s="113" t="s">
        <v>193</v>
      </c>
      <c r="C164" s="107" t="s">
        <v>2</v>
      </c>
      <c r="D164" s="111">
        <v>10</v>
      </c>
      <c r="E164" s="117">
        <f>350000*1.19</f>
        <v>416500</v>
      </c>
      <c r="F164" s="117">
        <f t="shared" si="5"/>
        <v>4165000</v>
      </c>
      <c r="H164" s="96"/>
      <c r="I164" s="96"/>
    </row>
    <row r="165" spans="1:9" hidden="1" x14ac:dyDescent="0.2">
      <c r="A165" s="105">
        <v>15.25</v>
      </c>
      <c r="B165" s="113" t="s">
        <v>194</v>
      </c>
      <c r="C165" s="107" t="s">
        <v>2</v>
      </c>
      <c r="D165" s="111">
        <v>36</v>
      </c>
      <c r="E165" s="117">
        <f>20000*1.19</f>
        <v>23800</v>
      </c>
      <c r="F165" s="117">
        <f t="shared" si="5"/>
        <v>856800</v>
      </c>
      <c r="H165" s="96"/>
      <c r="I165" s="96"/>
    </row>
    <row r="166" spans="1:9" hidden="1" x14ac:dyDescent="0.2">
      <c r="A166" s="105">
        <v>15.26</v>
      </c>
      <c r="B166" s="113" t="s">
        <v>170</v>
      </c>
      <c r="C166" s="107" t="s">
        <v>2</v>
      </c>
      <c r="D166" s="111">
        <v>10</v>
      </c>
      <c r="E166" s="117">
        <f>20000*1.19</f>
        <v>23800</v>
      </c>
      <c r="F166" s="117">
        <f t="shared" si="5"/>
        <v>238000</v>
      </c>
      <c r="H166" s="96"/>
      <c r="I166" s="96"/>
    </row>
    <row r="167" spans="1:9" hidden="1" x14ac:dyDescent="0.2">
      <c r="A167" s="105"/>
      <c r="B167" s="150" t="s">
        <v>195</v>
      </c>
      <c r="C167" s="107"/>
      <c r="D167" s="111"/>
      <c r="E167" s="117"/>
      <c r="F167" s="117"/>
      <c r="H167" s="96"/>
      <c r="I167" s="96"/>
    </row>
    <row r="168" spans="1:9" ht="42" hidden="1" x14ac:dyDescent="0.2">
      <c r="A168" s="105">
        <v>15.27</v>
      </c>
      <c r="B168" s="113" t="s">
        <v>196</v>
      </c>
      <c r="C168" s="107" t="s">
        <v>2</v>
      </c>
      <c r="D168" s="111">
        <v>1</v>
      </c>
      <c r="E168" s="117">
        <f>9750000*1.19</f>
        <v>11602500</v>
      </c>
      <c r="F168" s="117">
        <f t="shared" si="5"/>
        <v>11602500</v>
      </c>
      <c r="H168" s="96"/>
      <c r="I168" s="96"/>
    </row>
    <row r="169" spans="1:9" hidden="1" x14ac:dyDescent="0.2">
      <c r="A169" s="105"/>
      <c r="B169" s="150" t="s">
        <v>197</v>
      </c>
      <c r="C169" s="107"/>
      <c r="D169" s="111"/>
      <c r="E169" s="117"/>
      <c r="F169" s="117"/>
      <c r="H169" s="96"/>
      <c r="I169" s="96"/>
    </row>
    <row r="170" spans="1:9" ht="42" hidden="1" x14ac:dyDescent="0.2">
      <c r="A170" s="105">
        <v>15.28</v>
      </c>
      <c r="B170" s="113" t="s">
        <v>198</v>
      </c>
      <c r="C170" s="107" t="s">
        <v>2</v>
      </c>
      <c r="D170" s="111">
        <v>0</v>
      </c>
      <c r="E170" s="117">
        <f>14050000*1.19</f>
        <v>16719500</v>
      </c>
      <c r="F170" s="117">
        <f t="shared" si="5"/>
        <v>0</v>
      </c>
      <c r="H170" s="96"/>
      <c r="I170" s="96"/>
    </row>
    <row r="171" spans="1:9" ht="42" hidden="1" x14ac:dyDescent="0.2">
      <c r="A171" s="105">
        <v>15.29</v>
      </c>
      <c r="B171" s="113" t="s">
        <v>199</v>
      </c>
      <c r="C171" s="107" t="s">
        <v>2</v>
      </c>
      <c r="D171" s="111">
        <v>4</v>
      </c>
      <c r="E171" s="117">
        <f>9200000*1.19</f>
        <v>10948000</v>
      </c>
      <c r="F171" s="117">
        <f t="shared" si="5"/>
        <v>43792000</v>
      </c>
      <c r="G171" s="168" t="s">
        <v>279</v>
      </c>
      <c r="H171" s="169"/>
      <c r="I171" s="169"/>
    </row>
    <row r="172" spans="1:9" hidden="1" x14ac:dyDescent="0.2">
      <c r="A172" s="105"/>
      <c r="B172" s="150" t="s">
        <v>241</v>
      </c>
      <c r="C172" s="107"/>
      <c r="D172" s="111"/>
      <c r="E172" s="117"/>
      <c r="F172" s="117"/>
      <c r="H172" s="96"/>
      <c r="I172" s="96"/>
    </row>
    <row r="173" spans="1:9" ht="42" hidden="1" x14ac:dyDescent="0.2">
      <c r="A173" s="105">
        <v>15.3</v>
      </c>
      <c r="B173" s="113" t="s">
        <v>242</v>
      </c>
      <c r="C173" s="111" t="s">
        <v>2</v>
      </c>
      <c r="D173" s="111">
        <v>2</v>
      </c>
      <c r="E173" s="117">
        <f>1.19*9100000</f>
        <v>10829000</v>
      </c>
      <c r="F173" s="117">
        <f>D173*E173</f>
        <v>21658000</v>
      </c>
      <c r="H173" s="96"/>
      <c r="I173" s="96"/>
    </row>
    <row r="174" spans="1:9" ht="28" hidden="1" x14ac:dyDescent="0.2">
      <c r="A174" s="105">
        <v>15.31</v>
      </c>
      <c r="B174" s="113" t="s">
        <v>243</v>
      </c>
      <c r="C174" s="107" t="s">
        <v>2</v>
      </c>
      <c r="D174" s="111">
        <v>2</v>
      </c>
      <c r="E174" s="117">
        <f>1.19*1750000</f>
        <v>2082500</v>
      </c>
      <c r="F174" s="117">
        <f>D174*E174</f>
        <v>4165000</v>
      </c>
      <c r="H174" s="96"/>
      <c r="I174" s="96"/>
    </row>
    <row r="175" spans="1:9" hidden="1" x14ac:dyDescent="0.2">
      <c r="A175" s="105"/>
      <c r="B175" s="150" t="s">
        <v>244</v>
      </c>
      <c r="C175" s="107"/>
      <c r="D175" s="111"/>
      <c r="E175" s="117"/>
      <c r="F175" s="117"/>
      <c r="H175" s="96"/>
      <c r="I175" s="96"/>
    </row>
    <row r="176" spans="1:9" hidden="1" x14ac:dyDescent="0.2">
      <c r="A176" s="105">
        <v>15.32</v>
      </c>
      <c r="B176" s="113" t="s">
        <v>173</v>
      </c>
      <c r="C176" s="107" t="s">
        <v>2</v>
      </c>
      <c r="D176" s="111">
        <v>12</v>
      </c>
      <c r="E176" s="117">
        <f>1050000*1.19</f>
        <v>1249500</v>
      </c>
      <c r="F176" s="117">
        <f t="shared" ref="F176:F185" si="6">D176*E176</f>
        <v>14994000</v>
      </c>
      <c r="H176" s="96"/>
      <c r="I176" s="96"/>
    </row>
    <row r="177" spans="1:9" hidden="1" x14ac:dyDescent="0.2">
      <c r="A177" s="105">
        <v>15.33</v>
      </c>
      <c r="B177" s="113" t="s">
        <v>175</v>
      </c>
      <c r="C177" s="107" t="s">
        <v>2</v>
      </c>
      <c r="D177" s="111">
        <v>12</v>
      </c>
      <c r="E177" s="117">
        <f>675000*1.19</f>
        <v>803250</v>
      </c>
      <c r="F177" s="117">
        <f t="shared" si="6"/>
        <v>9639000</v>
      </c>
      <c r="H177" s="96"/>
      <c r="I177" s="96"/>
    </row>
    <row r="178" spans="1:9" hidden="1" x14ac:dyDescent="0.2">
      <c r="A178" s="105">
        <v>15.34</v>
      </c>
      <c r="B178" s="113" t="s">
        <v>189</v>
      </c>
      <c r="C178" s="107" t="s">
        <v>2</v>
      </c>
      <c r="D178" s="111">
        <v>12</v>
      </c>
      <c r="E178" s="117">
        <f>875000*1.19</f>
        <v>1041250</v>
      </c>
      <c r="F178" s="117">
        <f t="shared" si="6"/>
        <v>12495000</v>
      </c>
      <c r="H178" s="96"/>
      <c r="I178" s="96"/>
    </row>
    <row r="179" spans="1:9" hidden="1" x14ac:dyDescent="0.2">
      <c r="A179" s="105">
        <v>15.35</v>
      </c>
      <c r="B179" s="113" t="s">
        <v>191</v>
      </c>
      <c r="C179" s="107" t="s">
        <v>2</v>
      </c>
      <c r="D179" s="111">
        <v>24</v>
      </c>
      <c r="E179" s="117">
        <f>275000*1.19</f>
        <v>327250</v>
      </c>
      <c r="F179" s="117">
        <f t="shared" si="6"/>
        <v>7854000</v>
      </c>
      <c r="H179" s="96"/>
      <c r="I179" s="96"/>
    </row>
    <row r="180" spans="1:9" hidden="1" x14ac:dyDescent="0.2">
      <c r="A180" s="105">
        <v>15.36</v>
      </c>
      <c r="B180" s="113" t="s">
        <v>169</v>
      </c>
      <c r="C180" s="107" t="s">
        <v>2</v>
      </c>
      <c r="D180" s="111">
        <v>5</v>
      </c>
      <c r="E180" s="117">
        <f>700000*1.19</f>
        <v>833000</v>
      </c>
      <c r="F180" s="117">
        <f t="shared" si="6"/>
        <v>4165000</v>
      </c>
      <c r="H180" s="96"/>
      <c r="I180" s="96"/>
    </row>
    <row r="181" spans="1:9" hidden="1" x14ac:dyDescent="0.2">
      <c r="A181" s="105">
        <v>15.37</v>
      </c>
      <c r="B181" s="113" t="s">
        <v>245</v>
      </c>
      <c r="C181" s="107" t="s">
        <v>2</v>
      </c>
      <c r="D181" s="111">
        <v>4</v>
      </c>
      <c r="E181" s="117">
        <f>650000*1.19</f>
        <v>773500</v>
      </c>
      <c r="F181" s="117">
        <f t="shared" si="6"/>
        <v>3094000</v>
      </c>
      <c r="H181" s="96"/>
      <c r="I181" s="96"/>
    </row>
    <row r="182" spans="1:9" hidden="1" x14ac:dyDescent="0.2">
      <c r="A182" s="105">
        <v>15.38</v>
      </c>
      <c r="B182" s="113" t="s">
        <v>246</v>
      </c>
      <c r="C182" s="107" t="s">
        <v>2</v>
      </c>
      <c r="D182" s="111">
        <v>1</v>
      </c>
      <c r="E182" s="117">
        <f>550000*1.19</f>
        <v>654500</v>
      </c>
      <c r="F182" s="117">
        <f t="shared" si="6"/>
        <v>654500</v>
      </c>
      <c r="H182" s="96"/>
      <c r="I182" s="96"/>
    </row>
    <row r="183" spans="1:9" hidden="1" x14ac:dyDescent="0.2">
      <c r="A183" s="105">
        <v>15.39</v>
      </c>
      <c r="B183" s="113" t="s">
        <v>193</v>
      </c>
      <c r="C183" s="107" t="s">
        <v>2</v>
      </c>
      <c r="D183" s="111">
        <v>6</v>
      </c>
      <c r="E183" s="117">
        <f>350000*1.19</f>
        <v>416500</v>
      </c>
      <c r="F183" s="117">
        <f t="shared" si="6"/>
        <v>2499000</v>
      </c>
      <c r="H183" s="96"/>
      <c r="I183" s="96"/>
    </row>
    <row r="184" spans="1:9" hidden="1" x14ac:dyDescent="0.2">
      <c r="A184" s="105">
        <v>15.4</v>
      </c>
      <c r="B184" s="113" t="s">
        <v>194</v>
      </c>
      <c r="C184" s="107" t="s">
        <v>2</v>
      </c>
      <c r="D184" s="111">
        <v>46</v>
      </c>
      <c r="E184" s="117">
        <f>20000*1.19</f>
        <v>23800</v>
      </c>
      <c r="F184" s="117">
        <f t="shared" si="6"/>
        <v>1094800</v>
      </c>
      <c r="H184" s="96"/>
      <c r="I184" s="96"/>
    </row>
    <row r="185" spans="1:9" hidden="1" x14ac:dyDescent="0.2">
      <c r="A185" s="105">
        <v>15.41</v>
      </c>
      <c r="B185" s="113" t="s">
        <v>170</v>
      </c>
      <c r="C185" s="107" t="s">
        <v>2</v>
      </c>
      <c r="D185" s="111">
        <v>12</v>
      </c>
      <c r="E185" s="117">
        <f>20000*1.19</f>
        <v>23800</v>
      </c>
      <c r="F185" s="117">
        <f t="shared" si="6"/>
        <v>285600</v>
      </c>
      <c r="H185" s="96"/>
      <c r="I185" s="96"/>
    </row>
    <row r="186" spans="1:9" hidden="1" x14ac:dyDescent="0.2">
      <c r="B186" s="150" t="s">
        <v>247</v>
      </c>
      <c r="C186" s="107"/>
      <c r="D186" s="111"/>
      <c r="E186" s="117"/>
      <c r="F186" s="117"/>
      <c r="H186" s="96"/>
      <c r="I186" s="96"/>
    </row>
    <row r="187" spans="1:9" hidden="1" x14ac:dyDescent="0.2">
      <c r="A187" s="105">
        <v>15.42</v>
      </c>
      <c r="B187" s="113" t="s">
        <v>248</v>
      </c>
      <c r="C187" s="107" t="s">
        <v>2</v>
      </c>
      <c r="D187" s="111">
        <v>4</v>
      </c>
      <c r="E187" s="117">
        <f>1250000*1.19</f>
        <v>1487500</v>
      </c>
      <c r="F187" s="117">
        <f t="shared" ref="F187:F190" si="7">D187*E187</f>
        <v>5950000</v>
      </c>
      <c r="H187" s="96"/>
      <c r="I187" s="96"/>
    </row>
    <row r="188" spans="1:9" hidden="1" x14ac:dyDescent="0.2">
      <c r="A188" s="105">
        <v>15.43</v>
      </c>
      <c r="B188" s="113" t="s">
        <v>249</v>
      </c>
      <c r="C188" s="107" t="s">
        <v>2</v>
      </c>
      <c r="D188" s="111">
        <v>4</v>
      </c>
      <c r="E188" s="117">
        <f>780000*1.19</f>
        <v>928200</v>
      </c>
      <c r="F188" s="117">
        <f t="shared" si="7"/>
        <v>3712800</v>
      </c>
      <c r="H188" s="96"/>
      <c r="I188" s="96"/>
    </row>
    <row r="189" spans="1:9" hidden="1" x14ac:dyDescent="0.2">
      <c r="A189" s="105">
        <v>15.44</v>
      </c>
      <c r="B189" s="113" t="s">
        <v>189</v>
      </c>
      <c r="C189" s="107" t="s">
        <v>2</v>
      </c>
      <c r="D189" s="111">
        <v>4</v>
      </c>
      <c r="E189" s="117">
        <f>875000*1.19</f>
        <v>1041250</v>
      </c>
      <c r="F189" s="117">
        <f t="shared" si="7"/>
        <v>4165000</v>
      </c>
      <c r="H189" s="96"/>
      <c r="I189" s="96"/>
    </row>
    <row r="190" spans="1:9" hidden="1" x14ac:dyDescent="0.2">
      <c r="A190" s="105">
        <v>15.45</v>
      </c>
      <c r="B190" s="113" t="s">
        <v>191</v>
      </c>
      <c r="C190" s="107" t="s">
        <v>2</v>
      </c>
      <c r="D190" s="111">
        <v>8</v>
      </c>
      <c r="E190" s="117">
        <f>275000*1.19</f>
        <v>327250</v>
      </c>
      <c r="F190" s="117">
        <f t="shared" si="7"/>
        <v>2618000</v>
      </c>
      <c r="H190" s="96"/>
      <c r="I190" s="96"/>
    </row>
    <row r="191" spans="1:9" hidden="1" x14ac:dyDescent="0.2">
      <c r="A191" s="105">
        <v>15.46</v>
      </c>
      <c r="B191" s="113" t="s">
        <v>250</v>
      </c>
      <c r="C191" s="107"/>
      <c r="D191" s="111"/>
      <c r="E191" s="117"/>
      <c r="F191" s="117"/>
      <c r="H191" s="96"/>
      <c r="I191" s="96"/>
    </row>
    <row r="192" spans="1:9" hidden="1" x14ac:dyDescent="0.2">
      <c r="A192" s="105">
        <v>15.47</v>
      </c>
      <c r="B192" s="113" t="s">
        <v>194</v>
      </c>
      <c r="C192" s="107" t="s">
        <v>2</v>
      </c>
      <c r="D192" s="111">
        <v>8</v>
      </c>
      <c r="E192" s="117">
        <f>20000*1.19</f>
        <v>23800</v>
      </c>
      <c r="F192" s="117">
        <f t="shared" ref="F192:F193" si="8">D192*E192</f>
        <v>190400</v>
      </c>
      <c r="H192" s="96"/>
      <c r="I192" s="96"/>
    </row>
    <row r="193" spans="1:10" hidden="1" x14ac:dyDescent="0.2">
      <c r="A193" s="105">
        <v>15.48</v>
      </c>
      <c r="B193" s="113" t="s">
        <v>170</v>
      </c>
      <c r="C193" s="107" t="s">
        <v>2</v>
      </c>
      <c r="D193" s="111">
        <v>4</v>
      </c>
      <c r="E193" s="117">
        <f>20000*1.19</f>
        <v>23800</v>
      </c>
      <c r="F193" s="117">
        <f t="shared" si="8"/>
        <v>95200</v>
      </c>
      <c r="H193" s="96"/>
      <c r="I193" s="96"/>
    </row>
    <row r="194" spans="1:10" hidden="1" x14ac:dyDescent="0.2">
      <c r="A194" s="105"/>
      <c r="B194" s="150" t="s">
        <v>277</v>
      </c>
      <c r="C194" s="107"/>
      <c r="D194" s="111"/>
      <c r="E194" s="117"/>
      <c r="F194" s="117"/>
      <c r="H194" s="96"/>
      <c r="I194" s="96"/>
    </row>
    <row r="195" spans="1:10" ht="42" hidden="1" x14ac:dyDescent="0.2">
      <c r="A195" s="105">
        <v>15.49</v>
      </c>
      <c r="B195" s="113" t="s">
        <v>242</v>
      </c>
      <c r="C195" s="111" t="s">
        <v>2</v>
      </c>
      <c r="D195" s="111">
        <v>1</v>
      </c>
      <c r="E195" s="117">
        <f>1.19*9100000</f>
        <v>10829000</v>
      </c>
      <c r="F195" s="117">
        <f>D195*E195</f>
        <v>10829000</v>
      </c>
      <c r="H195" s="96"/>
      <c r="I195" s="96"/>
    </row>
    <row r="196" spans="1:10" hidden="1" x14ac:dyDescent="0.2">
      <c r="A196" s="105"/>
      <c r="B196" s="150" t="s">
        <v>201</v>
      </c>
      <c r="C196" s="107"/>
      <c r="D196" s="111"/>
      <c r="E196" s="117"/>
      <c r="F196" s="117"/>
      <c r="H196" s="96"/>
      <c r="I196" s="96"/>
    </row>
    <row r="197" spans="1:10" ht="28" hidden="1" x14ac:dyDescent="0.2">
      <c r="A197" s="105">
        <v>15.5</v>
      </c>
      <c r="B197" s="113" t="s">
        <v>202</v>
      </c>
      <c r="C197" s="107" t="s">
        <v>2</v>
      </c>
      <c r="D197" s="111">
        <v>4</v>
      </c>
      <c r="E197" s="117">
        <f>9060000*1.19</f>
        <v>10781400</v>
      </c>
      <c r="F197" s="117">
        <f t="shared" si="5"/>
        <v>43125600</v>
      </c>
      <c r="G197" s="165" t="s">
        <v>266</v>
      </c>
      <c r="H197" s="167"/>
      <c r="I197" s="96"/>
    </row>
    <row r="198" spans="1:10" ht="42" hidden="1" x14ac:dyDescent="0.2">
      <c r="A198" s="145">
        <v>15.51</v>
      </c>
      <c r="B198" s="113" t="s">
        <v>203</v>
      </c>
      <c r="C198" s="107" t="s">
        <v>2</v>
      </c>
      <c r="D198" s="111">
        <f>4+4+6</f>
        <v>14</v>
      </c>
      <c r="E198" s="117">
        <f>1800000*1.19</f>
        <v>2142000</v>
      </c>
      <c r="F198" s="117">
        <f t="shared" si="5"/>
        <v>29988000</v>
      </c>
      <c r="G198" s="165" t="s">
        <v>271</v>
      </c>
      <c r="H198" s="166" t="s">
        <v>272</v>
      </c>
      <c r="I198" s="166" t="s">
        <v>273</v>
      </c>
    </row>
    <row r="199" spans="1:10" ht="42" hidden="1" x14ac:dyDescent="0.2">
      <c r="A199" s="105">
        <v>15.52</v>
      </c>
      <c r="B199" s="113" t="s">
        <v>204</v>
      </c>
      <c r="C199" s="107" t="s">
        <v>2</v>
      </c>
      <c r="D199" s="111">
        <f>16+18+16</f>
        <v>50</v>
      </c>
      <c r="E199" s="117">
        <f>1540000*1.19</f>
        <v>1832600</v>
      </c>
      <c r="F199" s="117">
        <f t="shared" si="5"/>
        <v>91630000</v>
      </c>
      <c r="G199" s="165" t="s">
        <v>274</v>
      </c>
      <c r="H199" s="165" t="s">
        <v>275</v>
      </c>
      <c r="I199" s="165" t="s">
        <v>276</v>
      </c>
    </row>
    <row r="200" spans="1:10" ht="48.75" hidden="1" customHeight="1" x14ac:dyDescent="0.2">
      <c r="A200" s="105">
        <v>15.53</v>
      </c>
      <c r="B200" s="113" t="s">
        <v>251</v>
      </c>
      <c r="C200" s="107" t="s">
        <v>2</v>
      </c>
      <c r="D200" s="111">
        <v>10</v>
      </c>
      <c r="E200" s="117">
        <f>2560000*1.19</f>
        <v>3046400</v>
      </c>
      <c r="F200" s="117">
        <f t="shared" si="5"/>
        <v>30464000</v>
      </c>
      <c r="G200" s="168" t="s">
        <v>278</v>
      </c>
      <c r="H200" s="167"/>
      <c r="I200" s="167"/>
    </row>
    <row r="201" spans="1:10" ht="28" hidden="1" x14ac:dyDescent="0.2">
      <c r="A201" s="145">
        <v>15.54</v>
      </c>
      <c r="B201" s="113" t="s">
        <v>252</v>
      </c>
      <c r="C201" s="107" t="s">
        <v>2</v>
      </c>
      <c r="D201" s="111">
        <f>8+8+12+4</f>
        <v>32</v>
      </c>
      <c r="E201" s="117">
        <f>815000*1.19</f>
        <v>969850</v>
      </c>
      <c r="F201" s="117">
        <f t="shared" si="5"/>
        <v>31035200</v>
      </c>
      <c r="G201" s="165" t="s">
        <v>267</v>
      </c>
      <c r="H201" s="166" t="s">
        <v>268</v>
      </c>
      <c r="I201" s="166" t="s">
        <v>269</v>
      </c>
      <c r="J201" s="165" t="s">
        <v>270</v>
      </c>
    </row>
    <row r="202" spans="1:10" hidden="1" x14ac:dyDescent="0.2">
      <c r="A202" s="105"/>
      <c r="B202" s="150" t="s">
        <v>205</v>
      </c>
      <c r="C202" s="107"/>
      <c r="D202" s="111"/>
      <c r="E202" s="117"/>
      <c r="F202" s="117"/>
      <c r="H202" s="96"/>
      <c r="I202" s="96"/>
    </row>
    <row r="203" spans="1:10" ht="28" hidden="1" x14ac:dyDescent="0.2">
      <c r="A203" s="105">
        <v>15.33</v>
      </c>
      <c r="B203" s="113" t="s">
        <v>206</v>
      </c>
      <c r="C203" s="107" t="s">
        <v>2</v>
      </c>
      <c r="D203" s="111">
        <v>2</v>
      </c>
      <c r="E203" s="117">
        <f>1245000*1.19</f>
        <v>1481550</v>
      </c>
      <c r="F203" s="117">
        <f t="shared" ref="F203:F218" si="9">D203*E203</f>
        <v>2963100</v>
      </c>
      <c r="H203" s="96"/>
      <c r="I203" s="96"/>
    </row>
    <row r="204" spans="1:10" ht="28" hidden="1" x14ac:dyDescent="0.2">
      <c r="A204" s="105">
        <v>15.34</v>
      </c>
      <c r="B204" s="113" t="s">
        <v>207</v>
      </c>
      <c r="C204" s="107" t="s">
        <v>2</v>
      </c>
      <c r="D204" s="111">
        <v>5</v>
      </c>
      <c r="E204" s="117">
        <f>3255000*1.19</f>
        <v>3873450</v>
      </c>
      <c r="F204" s="117">
        <f t="shared" si="9"/>
        <v>19367250</v>
      </c>
      <c r="H204" s="96"/>
      <c r="I204" s="96"/>
    </row>
    <row r="205" spans="1:10" hidden="1" x14ac:dyDescent="0.2">
      <c r="A205" s="105">
        <v>15.35</v>
      </c>
      <c r="B205" s="113" t="s">
        <v>208</v>
      </c>
      <c r="C205" s="107" t="s">
        <v>2</v>
      </c>
      <c r="D205" s="111">
        <v>12</v>
      </c>
      <c r="E205" s="117">
        <f>1165000*1.19</f>
        <v>1386350</v>
      </c>
      <c r="F205" s="117">
        <f t="shared" si="9"/>
        <v>16636200</v>
      </c>
      <c r="H205" s="96"/>
      <c r="I205" s="96"/>
    </row>
    <row r="206" spans="1:10" hidden="1" x14ac:dyDescent="0.2">
      <c r="A206" s="105">
        <v>15.36</v>
      </c>
      <c r="B206" s="113" t="s">
        <v>209</v>
      </c>
      <c r="C206" s="107" t="s">
        <v>2</v>
      </c>
      <c r="D206" s="111">
        <v>1</v>
      </c>
      <c r="E206" s="117">
        <f>715000*1.19</f>
        <v>850850</v>
      </c>
      <c r="F206" s="117">
        <f t="shared" si="9"/>
        <v>850850</v>
      </c>
      <c r="H206" s="96"/>
      <c r="I206" s="96"/>
    </row>
    <row r="207" spans="1:10" hidden="1" x14ac:dyDescent="0.2">
      <c r="A207" s="105">
        <v>15.37</v>
      </c>
      <c r="B207" s="113" t="s">
        <v>210</v>
      </c>
      <c r="C207" s="107" t="s">
        <v>2</v>
      </c>
      <c r="D207" s="111">
        <v>2</v>
      </c>
      <c r="E207" s="117">
        <f>775000*1.19</f>
        <v>922250</v>
      </c>
      <c r="F207" s="117">
        <f t="shared" si="9"/>
        <v>1844500</v>
      </c>
      <c r="H207" s="96"/>
      <c r="I207" s="96"/>
    </row>
    <row r="208" spans="1:10" hidden="1" x14ac:dyDescent="0.2">
      <c r="A208" s="105">
        <v>15.38</v>
      </c>
      <c r="B208" s="113" t="s">
        <v>215</v>
      </c>
      <c r="C208" s="107" t="s">
        <v>2</v>
      </c>
      <c r="D208" s="111">
        <v>5</v>
      </c>
      <c r="E208" s="117">
        <f>910000*1.19</f>
        <v>1082900</v>
      </c>
      <c r="F208" s="117">
        <f t="shared" si="9"/>
        <v>5414500</v>
      </c>
      <c r="H208" s="96"/>
      <c r="I208" s="96"/>
    </row>
    <row r="209" spans="1:9" ht="15" hidden="1" customHeight="1" x14ac:dyDescent="0.2">
      <c r="A209" s="105"/>
      <c r="B209" s="150" t="s">
        <v>211</v>
      </c>
      <c r="C209" s="107"/>
      <c r="D209" s="111"/>
      <c r="E209" s="117"/>
      <c r="F209" s="117"/>
      <c r="H209" s="96"/>
      <c r="I209" s="96"/>
    </row>
    <row r="210" spans="1:9" ht="28" hidden="1" x14ac:dyDescent="0.2">
      <c r="A210" s="105">
        <v>15.39</v>
      </c>
      <c r="B210" s="113" t="s">
        <v>212</v>
      </c>
      <c r="C210" s="107" t="s">
        <v>213</v>
      </c>
      <c r="D210" s="111">
        <v>2</v>
      </c>
      <c r="E210" s="117">
        <f>2310000*1.19</f>
        <v>2748900</v>
      </c>
      <c r="F210" s="117">
        <f t="shared" si="9"/>
        <v>5497800</v>
      </c>
      <c r="H210" s="96"/>
      <c r="I210" s="96"/>
    </row>
    <row r="211" spans="1:9" ht="28" hidden="1" x14ac:dyDescent="0.2">
      <c r="A211" s="105">
        <v>15.41</v>
      </c>
      <c r="B211" s="113" t="s">
        <v>214</v>
      </c>
      <c r="C211" s="107" t="s">
        <v>2</v>
      </c>
      <c r="D211" s="111">
        <v>7</v>
      </c>
      <c r="E211" s="117">
        <f>5025000*1.19</f>
        <v>5979750</v>
      </c>
      <c r="F211" s="117">
        <f t="shared" si="9"/>
        <v>41858250</v>
      </c>
      <c r="H211" s="96"/>
      <c r="I211" s="96"/>
    </row>
    <row r="212" spans="1:9" hidden="1" x14ac:dyDescent="0.2">
      <c r="A212" s="105">
        <v>15.43</v>
      </c>
      <c r="B212" s="113" t="s">
        <v>208</v>
      </c>
      <c r="C212" s="107" t="s">
        <v>14</v>
      </c>
      <c r="D212" s="111">
        <v>14.4</v>
      </c>
      <c r="E212" s="117">
        <f>1165000*1.19</f>
        <v>1386350</v>
      </c>
      <c r="F212" s="117">
        <f t="shared" si="9"/>
        <v>19963440</v>
      </c>
      <c r="H212" s="96"/>
      <c r="I212" s="96"/>
    </row>
    <row r="213" spans="1:9" hidden="1" x14ac:dyDescent="0.2">
      <c r="A213" s="105">
        <v>15.45</v>
      </c>
      <c r="B213" s="113" t="s">
        <v>209</v>
      </c>
      <c r="C213" s="107" t="s">
        <v>2</v>
      </c>
      <c r="D213" s="111">
        <v>1</v>
      </c>
      <c r="E213" s="117">
        <f>715000*1.19</f>
        <v>850850</v>
      </c>
      <c r="F213" s="117">
        <f t="shared" si="9"/>
        <v>850850</v>
      </c>
      <c r="H213" s="96"/>
      <c r="I213" s="96"/>
    </row>
    <row r="214" spans="1:9" hidden="1" x14ac:dyDescent="0.2">
      <c r="A214" s="105">
        <v>15.47</v>
      </c>
      <c r="B214" s="113" t="s">
        <v>210</v>
      </c>
      <c r="C214" s="107" t="s">
        <v>2</v>
      </c>
      <c r="D214" s="111">
        <v>4</v>
      </c>
      <c r="E214" s="117">
        <f>775000*1.19</f>
        <v>922250</v>
      </c>
      <c r="F214" s="117">
        <f t="shared" si="9"/>
        <v>3689000</v>
      </c>
      <c r="H214" s="96"/>
      <c r="I214" s="96"/>
    </row>
    <row r="215" spans="1:9" hidden="1" x14ac:dyDescent="0.2">
      <c r="A215" s="105">
        <v>15.49</v>
      </c>
      <c r="B215" s="113" t="s">
        <v>215</v>
      </c>
      <c r="C215" s="107" t="s">
        <v>2</v>
      </c>
      <c r="D215" s="111">
        <v>7</v>
      </c>
      <c r="E215" s="117">
        <f>910000*1.19</f>
        <v>1082900</v>
      </c>
      <c r="F215" s="117">
        <f t="shared" si="9"/>
        <v>7580300</v>
      </c>
      <c r="H215" s="96"/>
      <c r="I215" s="96"/>
    </row>
    <row r="216" spans="1:9" hidden="1" x14ac:dyDescent="0.2">
      <c r="A216" s="105"/>
      <c r="B216" s="156" t="s">
        <v>283</v>
      </c>
      <c r="C216" s="107"/>
      <c r="D216" s="111"/>
      <c r="E216" s="117"/>
      <c r="F216" s="117"/>
      <c r="H216" s="96"/>
      <c r="I216" s="96"/>
    </row>
    <row r="217" spans="1:9" ht="42" hidden="1" x14ac:dyDescent="0.2">
      <c r="A217" s="105">
        <v>15.5</v>
      </c>
      <c r="B217" s="113" t="s">
        <v>253</v>
      </c>
      <c r="C217" s="107" t="s">
        <v>2</v>
      </c>
      <c r="D217" s="111">
        <v>3</v>
      </c>
      <c r="E217" s="171">
        <f>1900000*1.19</f>
        <v>2261000</v>
      </c>
      <c r="F217" s="117">
        <f t="shared" si="9"/>
        <v>6783000</v>
      </c>
      <c r="H217" s="96"/>
      <c r="I217" s="96"/>
    </row>
    <row r="218" spans="1:9" hidden="1" x14ac:dyDescent="0.2">
      <c r="A218" s="105">
        <v>15.6</v>
      </c>
      <c r="B218" s="113" t="s">
        <v>284</v>
      </c>
      <c r="C218" s="107" t="s">
        <v>2</v>
      </c>
      <c r="D218" s="111">
        <v>4</v>
      </c>
      <c r="E218" s="153">
        <f>6950000*1.19*1.16</f>
        <v>9593780</v>
      </c>
      <c r="F218" s="117">
        <f t="shared" si="9"/>
        <v>38375120</v>
      </c>
      <c r="H218" s="96"/>
      <c r="I218" s="96"/>
    </row>
    <row r="219" spans="1:9" hidden="1" x14ac:dyDescent="0.2">
      <c r="A219" s="105"/>
      <c r="B219" s="113"/>
      <c r="C219" s="107"/>
      <c r="D219" s="111"/>
      <c r="E219" s="117"/>
      <c r="F219" s="117"/>
      <c r="H219" s="96"/>
      <c r="I219" s="96"/>
    </row>
    <row r="220" spans="1:9" x14ac:dyDescent="0.2">
      <c r="A220" s="137">
        <v>16</v>
      </c>
      <c r="B220" s="138" t="s">
        <v>221</v>
      </c>
      <c r="C220" s="139"/>
      <c r="D220" s="140"/>
      <c r="E220" s="141"/>
      <c r="F220" s="141">
        <f>SUM(F221:F236)</f>
        <v>92629079.604266658</v>
      </c>
      <c r="G220" s="142"/>
      <c r="H220" s="143"/>
      <c r="I220" s="143"/>
    </row>
    <row r="221" spans="1:9" hidden="1" x14ac:dyDescent="0.2">
      <c r="A221" s="105">
        <v>16.010000000000002</v>
      </c>
      <c r="B221" s="113" t="s">
        <v>222</v>
      </c>
      <c r="C221" s="107" t="s">
        <v>2</v>
      </c>
      <c r="D221" s="111">
        <v>3</v>
      </c>
      <c r="E221" s="117">
        <f>8100330*(1+0.03+0.05+0.08*1.19)+G222</f>
        <v>9678174.4826666657</v>
      </c>
      <c r="F221" s="117">
        <f t="shared" ref="F221:F236" si="10">D221*E221</f>
        <v>29034523.447999999</v>
      </c>
      <c r="G221" s="151">
        <f>1190000*2</f>
        <v>2380000</v>
      </c>
      <c r="H221" s="96"/>
      <c r="I221" s="96"/>
    </row>
    <row r="222" spans="1:9" hidden="1" x14ac:dyDescent="0.2">
      <c r="A222" s="105">
        <v>16.02</v>
      </c>
      <c r="B222" s="113" t="s">
        <v>223</v>
      </c>
      <c r="C222" s="107" t="s">
        <v>2</v>
      </c>
      <c r="D222" s="111">
        <v>3</v>
      </c>
      <c r="E222" s="117">
        <f>184450*(1+0.03+0.05+0.08*1.19)+G222</f>
        <v>375432.30666666664</v>
      </c>
      <c r="F222" s="117">
        <f t="shared" si="10"/>
        <v>1126296.92</v>
      </c>
      <c r="G222" s="151">
        <f>G221/15</f>
        <v>158666.66666666666</v>
      </c>
      <c r="H222" s="96"/>
      <c r="I222" s="96"/>
    </row>
    <row r="223" spans="1:9" hidden="1" x14ac:dyDescent="0.2">
      <c r="A223" s="105">
        <v>16.03</v>
      </c>
      <c r="B223" s="113" t="s">
        <v>224</v>
      </c>
      <c r="C223" s="107" t="s">
        <v>2</v>
      </c>
      <c r="D223" s="111">
        <v>30</v>
      </c>
      <c r="E223" s="117">
        <f>12257*(1+0.03+0.05+0.08*1.19)+G222</f>
        <v>173071.09306666665</v>
      </c>
      <c r="F223" s="117">
        <f t="shared" si="10"/>
        <v>5192132.7919999994</v>
      </c>
      <c r="H223" s="96"/>
      <c r="I223" s="96"/>
    </row>
    <row r="224" spans="1:9" hidden="1" x14ac:dyDescent="0.2">
      <c r="A224" s="105">
        <v>16.04</v>
      </c>
      <c r="B224" s="113" t="s">
        <v>225</v>
      </c>
      <c r="C224" s="107" t="s">
        <v>2</v>
      </c>
      <c r="D224" s="111">
        <v>30</v>
      </c>
      <c r="E224" s="117">
        <f>33320*(1+0.03+0.05+0.08*1.19)+G222</f>
        <v>197824.33066666668</v>
      </c>
      <c r="F224" s="117">
        <f t="shared" si="10"/>
        <v>5934729.9199999999</v>
      </c>
      <c r="H224" s="96"/>
      <c r="I224" s="96"/>
    </row>
    <row r="225" spans="1:9" hidden="1" x14ac:dyDescent="0.2">
      <c r="A225" s="105">
        <v>16.05</v>
      </c>
      <c r="B225" s="113" t="s">
        <v>226</v>
      </c>
      <c r="C225" s="107" t="s">
        <v>2</v>
      </c>
      <c r="D225" s="111">
        <v>30</v>
      </c>
      <c r="E225" s="117">
        <f>10532*(1+0.03+0.05+0.08*1.19)+G222</f>
        <v>171043.87306666665</v>
      </c>
      <c r="F225" s="117">
        <f t="shared" si="10"/>
        <v>5131316.1919999998</v>
      </c>
      <c r="H225" s="96"/>
      <c r="I225" s="96"/>
    </row>
    <row r="226" spans="1:9" hidden="1" x14ac:dyDescent="0.2">
      <c r="A226" s="105">
        <v>16.059999999999999</v>
      </c>
      <c r="B226" s="113" t="s">
        <v>227</v>
      </c>
      <c r="C226" s="107" t="s">
        <v>2</v>
      </c>
      <c r="D226" s="111">
        <v>30</v>
      </c>
      <c r="E226" s="117">
        <f>11781*(1+0.03+0.05+0.08*1.19)+G222</f>
        <v>172511.69786666665</v>
      </c>
      <c r="F226" s="117">
        <f t="shared" si="10"/>
        <v>5175350.9359999998</v>
      </c>
      <c r="H226" s="96"/>
      <c r="I226" s="96"/>
    </row>
    <row r="227" spans="1:9" hidden="1" x14ac:dyDescent="0.2">
      <c r="A227" s="105">
        <v>16.07</v>
      </c>
      <c r="B227" s="113" t="s">
        <v>228</v>
      </c>
      <c r="C227" s="107" t="s">
        <v>2</v>
      </c>
      <c r="D227" s="111">
        <v>2</v>
      </c>
      <c r="E227" s="117">
        <f>459999*(1+0.03+0.05+0.08*1.19)+G222</f>
        <v>699257.49146666669</v>
      </c>
      <c r="F227" s="117">
        <f t="shared" si="10"/>
        <v>1398514.9829333334</v>
      </c>
      <c r="H227" s="96"/>
      <c r="I227" s="96"/>
    </row>
    <row r="228" spans="1:9" hidden="1" x14ac:dyDescent="0.2">
      <c r="A228" s="105">
        <v>16.079999999999998</v>
      </c>
      <c r="B228" s="113" t="s">
        <v>229</v>
      </c>
      <c r="C228" s="107" t="s">
        <v>2</v>
      </c>
      <c r="D228" s="111">
        <v>3</v>
      </c>
      <c r="E228" s="117">
        <f>476000*(1+0.03+0.05+0.08*1.19)+G222</f>
        <v>718061.86666666658</v>
      </c>
      <c r="F228" s="117">
        <f t="shared" si="10"/>
        <v>2154185.5999999996</v>
      </c>
      <c r="H228" s="96"/>
      <c r="I228" s="96"/>
    </row>
    <row r="229" spans="1:9" hidden="1" x14ac:dyDescent="0.2">
      <c r="A229" s="105">
        <v>16.09</v>
      </c>
      <c r="B229" s="113" t="s">
        <v>230</v>
      </c>
      <c r="C229" s="107" t="s">
        <v>2</v>
      </c>
      <c r="D229" s="111">
        <v>30</v>
      </c>
      <c r="E229" s="117">
        <f>29750*(1+0.03+0.05+0.08*1.19)+G222</f>
        <v>193628.86666666664</v>
      </c>
      <c r="F229" s="117">
        <f t="shared" si="10"/>
        <v>5808865.9999999991</v>
      </c>
      <c r="H229" s="96"/>
      <c r="I229" s="96"/>
    </row>
    <row r="230" spans="1:9" ht="28" hidden="1" x14ac:dyDescent="0.2">
      <c r="A230" s="105">
        <v>16.100000000000001</v>
      </c>
      <c r="B230" s="113" t="s">
        <v>231</v>
      </c>
      <c r="C230" s="107" t="s">
        <v>2</v>
      </c>
      <c r="D230" s="111">
        <v>3</v>
      </c>
      <c r="E230" s="117">
        <f>1071000*(1+0.03+0.05+0.08*1.19)+G222</f>
        <v>1417305.8666666667</v>
      </c>
      <c r="F230" s="117">
        <f t="shared" si="10"/>
        <v>4251917.5999999996</v>
      </c>
      <c r="H230" s="96"/>
      <c r="I230" s="96"/>
    </row>
    <row r="231" spans="1:9" hidden="1" x14ac:dyDescent="0.2">
      <c r="A231" s="105">
        <v>16.11</v>
      </c>
      <c r="B231" s="113" t="s">
        <v>232</v>
      </c>
      <c r="C231" s="107" t="s">
        <v>2</v>
      </c>
      <c r="D231" s="111">
        <v>3</v>
      </c>
      <c r="E231" s="117">
        <f>416500*(1+0.03+0.05+0.08*1.19)+G222</f>
        <v>648137.46666666667</v>
      </c>
      <c r="F231" s="117">
        <f t="shared" si="10"/>
        <v>1944412.4</v>
      </c>
      <c r="H231" s="96"/>
      <c r="I231" s="96"/>
    </row>
    <row r="232" spans="1:9" hidden="1" x14ac:dyDescent="0.2">
      <c r="A232" s="105">
        <v>16.12</v>
      </c>
      <c r="B232" s="113" t="s">
        <v>233</v>
      </c>
      <c r="C232" s="107" t="s">
        <v>2</v>
      </c>
      <c r="D232" s="111">
        <v>3</v>
      </c>
      <c r="E232" s="117">
        <f>1071000*(1+0.03+0.05+0.08*1.19)+G222</f>
        <v>1417305.8666666667</v>
      </c>
      <c r="F232" s="117">
        <f t="shared" si="10"/>
        <v>4251917.5999999996</v>
      </c>
      <c r="H232" s="96"/>
      <c r="I232" s="96"/>
    </row>
    <row r="233" spans="1:9" hidden="1" x14ac:dyDescent="0.2">
      <c r="A233" s="105">
        <v>16.13</v>
      </c>
      <c r="B233" s="113" t="s">
        <v>234</v>
      </c>
      <c r="C233" s="107" t="s">
        <v>2</v>
      </c>
      <c r="D233" s="111">
        <v>1</v>
      </c>
      <c r="E233" s="117">
        <f>476000*(1+0.03+0.05+0.08*1.19)+G222</f>
        <v>718061.86666666658</v>
      </c>
      <c r="F233" s="117">
        <f t="shared" si="10"/>
        <v>718061.86666666658</v>
      </c>
      <c r="H233" s="96"/>
      <c r="I233" s="96"/>
    </row>
    <row r="234" spans="1:9" ht="27.75" hidden="1" customHeight="1" x14ac:dyDescent="0.2">
      <c r="A234" s="105">
        <v>16.14</v>
      </c>
      <c r="B234" s="113" t="s">
        <v>235</v>
      </c>
      <c r="C234" s="107" t="s">
        <v>2</v>
      </c>
      <c r="D234" s="111">
        <v>1</v>
      </c>
      <c r="E234" s="117">
        <f>476000*(1+0.03+0.05+0.08*1.19)+G222</f>
        <v>718061.86666666658</v>
      </c>
      <c r="F234" s="117">
        <f t="shared" si="10"/>
        <v>718061.86666666658</v>
      </c>
      <c r="H234" s="96"/>
      <c r="I234" s="96"/>
    </row>
    <row r="235" spans="1:9" hidden="1" x14ac:dyDescent="0.2">
      <c r="A235" s="105">
        <v>16.149999999999999</v>
      </c>
      <c r="B235" s="113" t="s">
        <v>236</v>
      </c>
      <c r="C235" s="107" t="s">
        <v>2</v>
      </c>
      <c r="D235" s="111">
        <v>3</v>
      </c>
      <c r="E235" s="117">
        <f>83300*(1+0.03+0.05+0.08*1.19)+G222</f>
        <v>256560.82666666666</v>
      </c>
      <c r="F235" s="117">
        <f t="shared" si="10"/>
        <v>769682.48</v>
      </c>
      <c r="H235" s="96"/>
      <c r="I235" s="96"/>
    </row>
    <row r="236" spans="1:9" hidden="1" x14ac:dyDescent="0.2">
      <c r="A236" s="105">
        <v>16.16</v>
      </c>
      <c r="B236" s="113" t="s">
        <v>285</v>
      </c>
      <c r="C236" s="107" t="s">
        <v>122</v>
      </c>
      <c r="D236" s="111">
        <v>1</v>
      </c>
      <c r="E236" s="117">
        <v>19019109</v>
      </c>
      <c r="F236" s="117">
        <f t="shared" si="10"/>
        <v>19019109</v>
      </c>
      <c r="H236" s="96"/>
      <c r="I236" s="96"/>
    </row>
    <row r="237" spans="1:9" x14ac:dyDescent="0.2">
      <c r="A237"/>
      <c r="B237"/>
      <c r="C237"/>
      <c r="D237"/>
      <c r="E237"/>
      <c r="F237"/>
    </row>
    <row r="238" spans="1:9" ht="16" thickBot="1" x14ac:dyDescent="0.25">
      <c r="A238"/>
      <c r="B238"/>
      <c r="C238"/>
      <c r="D238"/>
      <c r="E238"/>
      <c r="F238"/>
    </row>
    <row r="239" spans="1:9" x14ac:dyDescent="0.2">
      <c r="A239"/>
      <c r="B239" s="157"/>
      <c r="C239" s="129"/>
      <c r="D239" s="130"/>
      <c r="E239" s="131"/>
      <c r="F239" s="132" t="e">
        <f>SUM(F5:F238)/2</f>
        <v>#REF!</v>
      </c>
    </row>
    <row r="240" spans="1:9" ht="9" customHeight="1" x14ac:dyDescent="0.2">
      <c r="A240"/>
      <c r="B240" s="157"/>
      <c r="C240" s="133"/>
      <c r="D240" s="114"/>
      <c r="E240" s="120"/>
      <c r="F240" s="134"/>
    </row>
    <row r="241" spans="1:6" ht="9" customHeight="1" x14ac:dyDescent="0.2">
      <c r="A241"/>
      <c r="B241" s="157"/>
      <c r="C241" s="133"/>
      <c r="D241" s="114"/>
      <c r="E241" s="120"/>
      <c r="F241" s="134"/>
    </row>
    <row r="242" spans="1:6" x14ac:dyDescent="0.2">
      <c r="A242"/>
      <c r="B242" s="157"/>
      <c r="C242" s="133"/>
      <c r="D242" s="114"/>
      <c r="E242" s="125" t="s">
        <v>151</v>
      </c>
      <c r="F242" s="134" t="e">
        <f>F239+F240+F241</f>
        <v>#REF!</v>
      </c>
    </row>
    <row r="243" spans="1:6" x14ac:dyDescent="0.2">
      <c r="A243"/>
      <c r="B243" s="157"/>
      <c r="C243" s="133"/>
      <c r="D243" s="125" t="s">
        <v>216</v>
      </c>
      <c r="E243" s="120">
        <v>0.27</v>
      </c>
      <c r="F243" s="134" t="e">
        <f>F242*E243</f>
        <v>#REF!</v>
      </c>
    </row>
    <row r="244" spans="1:6" x14ac:dyDescent="0.2">
      <c r="A244"/>
      <c r="B244" s="157"/>
      <c r="C244" s="133"/>
      <c r="D244" s="125" t="s">
        <v>217</v>
      </c>
      <c r="E244" s="120">
        <v>0.02</v>
      </c>
      <c r="F244" s="134" t="e">
        <f>F242*E244</f>
        <v>#REF!</v>
      </c>
    </row>
    <row r="245" spans="1:6" x14ac:dyDescent="0.2">
      <c r="A245"/>
      <c r="B245" s="157"/>
      <c r="C245" s="133"/>
      <c r="D245" s="125" t="s">
        <v>218</v>
      </c>
      <c r="E245" s="120">
        <v>0.06</v>
      </c>
      <c r="F245" s="134" t="e">
        <f>F242*E245</f>
        <v>#REF!</v>
      </c>
    </row>
    <row r="246" spans="1:6" x14ac:dyDescent="0.2">
      <c r="A246"/>
      <c r="B246" s="157"/>
      <c r="C246" s="218" t="s">
        <v>282</v>
      </c>
      <c r="D246" s="219"/>
      <c r="E246" s="220"/>
      <c r="F246" s="170">
        <v>8000000</v>
      </c>
    </row>
    <row r="247" spans="1:6" ht="17.25" customHeight="1" thickBot="1" x14ac:dyDescent="0.25">
      <c r="A247"/>
      <c r="B247" s="157"/>
      <c r="C247" s="221" t="s">
        <v>151</v>
      </c>
      <c r="D247" s="222"/>
      <c r="E247" s="223"/>
      <c r="F247" s="152" t="e">
        <f>SUM(F243:F245)</f>
        <v>#REF!</v>
      </c>
    </row>
    <row r="248" spans="1:6" ht="17.25" customHeight="1" thickBot="1" x14ac:dyDescent="0.25">
      <c r="A248"/>
      <c r="B248" s="157"/>
      <c r="C248" s="221" t="s">
        <v>220</v>
      </c>
      <c r="D248" s="222"/>
      <c r="E248" s="223"/>
      <c r="F248" s="152" t="e">
        <f>F245*19%</f>
        <v>#REF!</v>
      </c>
    </row>
    <row r="249" spans="1:6" ht="17" thickBot="1" x14ac:dyDescent="0.25">
      <c r="A249"/>
      <c r="B249" s="157"/>
      <c r="C249" s="135"/>
      <c r="D249" s="136"/>
      <c r="E249" s="136" t="s">
        <v>219</v>
      </c>
      <c r="F249" s="152" t="e">
        <f>+F247+F242+F248+F246</f>
        <v>#REF!</v>
      </c>
    </row>
  </sheetData>
  <mergeCells count="17">
    <mergeCell ref="I8:K8"/>
    <mergeCell ref="M8:N8"/>
    <mergeCell ref="C246:E246"/>
    <mergeCell ref="C247:E247"/>
    <mergeCell ref="C248:E248"/>
    <mergeCell ref="I5:L5"/>
    <mergeCell ref="M5:N5"/>
    <mergeCell ref="I6:L6"/>
    <mergeCell ref="M6:N6"/>
    <mergeCell ref="I7:L7"/>
    <mergeCell ref="M7:N7"/>
    <mergeCell ref="A2:F2"/>
    <mergeCell ref="I2:N2"/>
    <mergeCell ref="I3:L3"/>
    <mergeCell ref="M3:N3"/>
    <mergeCell ref="I4:L4"/>
    <mergeCell ref="M4:N4"/>
  </mergeCells>
  <conditionalFormatting sqref="B5">
    <cfRule type="cellIs" dxfId="7" priority="4" stopIfTrue="1" operator="equal">
      <formula>"ESCRIBA AQUÍ EL NOMBRE DEL CAPITULO"</formula>
    </cfRule>
  </conditionalFormatting>
  <conditionalFormatting sqref="B9">
    <cfRule type="cellIs" dxfId="6" priority="5" stopIfTrue="1" operator="equal">
      <formula>"ESCRIBA AQUÍ EL NOMBRE DEL CAPITULO"</formula>
    </cfRule>
  </conditionalFormatting>
  <conditionalFormatting sqref="B23">
    <cfRule type="cellIs" dxfId="5" priority="6" stopIfTrue="1" operator="equal">
      <formula>"ESCRIBA AQUÍ EL NOMBRE DEL CAPITULO"</formula>
    </cfRule>
  </conditionalFormatting>
  <conditionalFormatting sqref="B31">
    <cfRule type="cellIs" dxfId="4" priority="7" stopIfTrue="1" operator="equal">
      <formula>"ESCRIBA AQUÍ EL NOMBRE DEL CAPITULO"</formula>
    </cfRule>
  </conditionalFormatting>
  <conditionalFormatting sqref="B35:B51">
    <cfRule type="cellIs" dxfId="3" priority="8" stopIfTrue="1" operator="equal">
      <formula>"ESCRIBA AQUÍ EL NOMBRE DEL CAPITULO"</formula>
    </cfRule>
  </conditionalFormatting>
  <conditionalFormatting sqref="B55:B215">
    <cfRule type="cellIs" dxfId="2" priority="3" stopIfTrue="1" operator="equal">
      <formula>"ESCRIBA AQUÍ EL NOMBRE DEL CAPITULO"</formula>
    </cfRule>
  </conditionalFormatting>
  <conditionalFormatting sqref="B217:B236">
    <cfRule type="cellIs" dxfId="1" priority="1" stopIfTrue="1" operator="equal">
      <formula>"ESCRIBA AQUÍ EL NOMBRE DEL CAPITULO"</formula>
    </cfRule>
  </conditionalFormatting>
  <conditionalFormatting sqref="B1:D1 A2 B3:D3">
    <cfRule type="cellIs" dxfId="0" priority="10" stopIfTrue="1" operator="equal">
      <formula>"ESCRIBA AQUÍ EL NOMBRE DE LA OBRA"</formula>
    </cfRule>
  </conditionalFormatting>
  <pageMargins left="0.46" right="0.19685039370078741" top="1.6141732283464567" bottom="0.94488188976377963" header="0.31496062992125984" footer="0.31496062992125984"/>
  <pageSetup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view="pageBreakPreview" topLeftCell="B9" zoomScale="70" zoomScaleNormal="70" zoomScaleSheetLayoutView="70" workbookViewId="0">
      <selection activeCell="E10" sqref="E10"/>
    </sheetView>
  </sheetViews>
  <sheetFormatPr baseColWidth="10" defaultColWidth="10.83203125" defaultRowHeight="16" x14ac:dyDescent="0.2"/>
  <cols>
    <col min="1" max="1" width="12.1640625" style="7" hidden="1" customWidth="1"/>
    <col min="2" max="2" width="27.6640625" style="20" customWidth="1"/>
    <col min="3" max="3" width="75.33203125" style="21" customWidth="1"/>
    <col min="4" max="4" width="13" style="22" customWidth="1"/>
    <col min="5" max="5" width="20.83203125" style="22" customWidth="1"/>
    <col min="6" max="6" width="19.6640625" style="22" customWidth="1"/>
    <col min="7" max="7" width="26" style="22" customWidth="1"/>
    <col min="8" max="16384" width="10.83203125" style="11"/>
  </cols>
  <sheetData>
    <row r="1" spans="1:7" s="1" customFormat="1" ht="94" customHeight="1" thickBot="1" x14ac:dyDescent="0.25">
      <c r="B1" s="2"/>
      <c r="C1" s="227" t="s">
        <v>55</v>
      </c>
      <c r="D1" s="228"/>
      <c r="E1" s="228"/>
      <c r="F1" s="229"/>
      <c r="G1" s="3" t="s">
        <v>37</v>
      </c>
    </row>
    <row r="2" spans="1:7" s="1" customFormat="1" ht="43" customHeight="1" x14ac:dyDescent="0.2">
      <c r="B2" s="4" t="s">
        <v>38</v>
      </c>
      <c r="C2" s="5"/>
      <c r="D2" s="5"/>
      <c r="E2" s="5"/>
      <c r="F2" s="5"/>
      <c r="G2" s="6"/>
    </row>
    <row r="3" spans="1:7" ht="12.75" customHeight="1" x14ac:dyDescent="0.15">
      <c r="B3" s="8"/>
      <c r="C3" s="9"/>
      <c r="D3" s="10"/>
      <c r="E3" s="10"/>
      <c r="F3" s="10"/>
      <c r="G3" s="10"/>
    </row>
    <row r="4" spans="1:7" ht="27.75" customHeight="1" x14ac:dyDescent="0.15">
      <c r="A4" s="7" t="s">
        <v>39</v>
      </c>
      <c r="B4" s="91" t="s">
        <v>40</v>
      </c>
      <c r="C4" s="92" t="s">
        <v>41</v>
      </c>
      <c r="D4" s="93" t="s">
        <v>42</v>
      </c>
      <c r="E4" s="93" t="s">
        <v>3</v>
      </c>
      <c r="F4" s="93" t="s">
        <v>43</v>
      </c>
      <c r="G4" s="93" t="s">
        <v>44</v>
      </c>
    </row>
    <row r="5" spans="1:7" ht="10" customHeight="1" x14ac:dyDescent="0.15">
      <c r="B5" s="8"/>
      <c r="C5" s="9"/>
      <c r="D5" s="10"/>
      <c r="E5" s="10"/>
      <c r="F5" s="10"/>
      <c r="G5" s="10"/>
    </row>
    <row r="6" spans="1:7" ht="22" customHeight="1" x14ac:dyDescent="0.15">
      <c r="B6" s="8" t="s">
        <v>56</v>
      </c>
      <c r="C6" s="9" t="s">
        <v>6</v>
      </c>
      <c r="D6" s="10"/>
      <c r="E6" s="10"/>
      <c r="F6" s="10"/>
      <c r="G6" s="10"/>
    </row>
    <row r="7" spans="1:7" ht="22" customHeight="1" x14ac:dyDescent="0.15">
      <c r="A7" s="11"/>
      <c r="B7" s="12" t="s">
        <v>7</v>
      </c>
      <c r="C7" s="13" t="s">
        <v>8</v>
      </c>
      <c r="D7" s="14" t="s">
        <v>9</v>
      </c>
      <c r="E7" s="15">
        <v>831</v>
      </c>
      <c r="F7" s="16">
        <v>3800</v>
      </c>
      <c r="G7" s="16">
        <f t="shared" ref="G7:G17" si="0">F7*E7</f>
        <v>3157800</v>
      </c>
    </row>
    <row r="8" spans="1:7" ht="22" customHeight="1" x14ac:dyDescent="0.15">
      <c r="A8" s="11"/>
      <c r="B8" s="12" t="s">
        <v>10</v>
      </c>
      <c r="C8" s="13" t="s">
        <v>19</v>
      </c>
      <c r="D8" s="14" t="s">
        <v>9</v>
      </c>
      <c r="E8" s="15">
        <v>300</v>
      </c>
      <c r="F8" s="16">
        <v>2100</v>
      </c>
      <c r="G8" s="16">
        <f t="shared" si="0"/>
        <v>630000</v>
      </c>
    </row>
    <row r="9" spans="1:7" ht="22" customHeight="1" x14ac:dyDescent="0.15">
      <c r="B9" s="8">
        <v>2</v>
      </c>
      <c r="C9" s="9" t="s">
        <v>24</v>
      </c>
      <c r="D9" s="10"/>
      <c r="E9" s="10"/>
      <c r="F9" s="10"/>
      <c r="G9" s="10"/>
    </row>
    <row r="10" spans="1:7" ht="22" customHeight="1" x14ac:dyDescent="0.15">
      <c r="A10" s="11"/>
      <c r="B10" s="12" t="s">
        <v>27</v>
      </c>
      <c r="C10" s="13" t="s">
        <v>20</v>
      </c>
      <c r="D10" s="14" t="s">
        <v>9</v>
      </c>
      <c r="E10" s="15">
        <v>831</v>
      </c>
      <c r="F10" s="16">
        <v>9900</v>
      </c>
      <c r="G10" s="16">
        <f t="shared" si="0"/>
        <v>8226900</v>
      </c>
    </row>
    <row r="11" spans="1:7" ht="22" customHeight="1" x14ac:dyDescent="0.15">
      <c r="A11" s="11"/>
      <c r="B11" s="12" t="s">
        <v>28</v>
      </c>
      <c r="C11" s="13" t="s">
        <v>26</v>
      </c>
      <c r="D11" s="14" t="s">
        <v>9</v>
      </c>
      <c r="E11" s="15">
        <v>831</v>
      </c>
      <c r="F11" s="16">
        <v>4900</v>
      </c>
      <c r="G11" s="16">
        <f t="shared" si="0"/>
        <v>4071900</v>
      </c>
    </row>
    <row r="12" spans="1:7" ht="22" customHeight="1" x14ac:dyDescent="0.15">
      <c r="A12" s="11"/>
      <c r="B12" s="12" t="s">
        <v>29</v>
      </c>
      <c r="C12" s="13" t="s">
        <v>18</v>
      </c>
      <c r="D12" s="14" t="s">
        <v>14</v>
      </c>
      <c r="E12" s="15">
        <v>793</v>
      </c>
      <c r="F12" s="16">
        <v>3800</v>
      </c>
      <c r="G12" s="16">
        <f t="shared" si="0"/>
        <v>3013400</v>
      </c>
    </row>
    <row r="13" spans="1:7" ht="22" customHeight="1" x14ac:dyDescent="0.15">
      <c r="A13" s="11"/>
      <c r="B13" s="12" t="s">
        <v>30</v>
      </c>
      <c r="C13" s="13" t="s">
        <v>21</v>
      </c>
      <c r="D13" s="14" t="s">
        <v>9</v>
      </c>
      <c r="E13" s="15">
        <v>163</v>
      </c>
      <c r="F13" s="16">
        <v>9900</v>
      </c>
      <c r="G13" s="16">
        <f t="shared" si="0"/>
        <v>1613700</v>
      </c>
    </row>
    <row r="14" spans="1:7" ht="22" customHeight="1" x14ac:dyDescent="0.15">
      <c r="A14" s="11"/>
      <c r="B14" s="12" t="s">
        <v>31</v>
      </c>
      <c r="C14" s="13" t="s">
        <v>22</v>
      </c>
      <c r="D14" s="14" t="s">
        <v>25</v>
      </c>
      <c r="E14" s="15">
        <v>216.06000000000003</v>
      </c>
      <c r="F14" s="16">
        <v>76000</v>
      </c>
      <c r="G14" s="16">
        <f t="shared" si="0"/>
        <v>16420560.000000002</v>
      </c>
    </row>
    <row r="15" spans="1:7" ht="22" customHeight="1" x14ac:dyDescent="0.15">
      <c r="B15" s="8">
        <v>3</v>
      </c>
      <c r="C15" s="9" t="s">
        <v>17</v>
      </c>
      <c r="D15" s="10"/>
      <c r="E15" s="10"/>
      <c r="F15" s="10"/>
      <c r="G15" s="10"/>
    </row>
    <row r="16" spans="1:7" ht="22" customHeight="1" x14ac:dyDescent="0.15">
      <c r="A16" s="11"/>
      <c r="B16" s="12" t="s">
        <v>11</v>
      </c>
      <c r="C16" s="13" t="s">
        <v>15</v>
      </c>
      <c r="D16" s="14" t="s">
        <v>14</v>
      </c>
      <c r="E16" s="15">
        <v>793</v>
      </c>
      <c r="F16" s="16">
        <v>5700</v>
      </c>
      <c r="G16" s="16">
        <f t="shared" si="0"/>
        <v>4520100</v>
      </c>
    </row>
    <row r="17" spans="1:7" ht="22" customHeight="1" x14ac:dyDescent="0.15">
      <c r="A17" s="11"/>
      <c r="B17" s="12" t="s">
        <v>12</v>
      </c>
      <c r="C17" s="13" t="s">
        <v>36</v>
      </c>
      <c r="D17" s="14" t="s">
        <v>9</v>
      </c>
      <c r="E17" s="15">
        <v>831</v>
      </c>
      <c r="F17" s="16">
        <v>27900</v>
      </c>
      <c r="G17" s="16">
        <f t="shared" si="0"/>
        <v>23184900</v>
      </c>
    </row>
    <row r="18" spans="1:7" ht="22" customHeight="1" x14ac:dyDescent="0.15">
      <c r="A18" s="7">
        <v>10114</v>
      </c>
      <c r="B18" s="12" t="s">
        <v>13</v>
      </c>
      <c r="C18" s="13" t="s">
        <v>16</v>
      </c>
      <c r="D18" s="14" t="s">
        <v>9</v>
      </c>
      <c r="E18" s="15">
        <v>831</v>
      </c>
      <c r="F18" s="16">
        <v>28900</v>
      </c>
      <c r="G18" s="16">
        <f>F18*E18</f>
        <v>24015900</v>
      </c>
    </row>
    <row r="19" spans="1:7" ht="22" customHeight="1" x14ac:dyDescent="0.15">
      <c r="A19" s="7">
        <v>100113</v>
      </c>
      <c r="B19" s="12" t="s">
        <v>32</v>
      </c>
      <c r="C19" s="13" t="s">
        <v>35</v>
      </c>
      <c r="D19" s="14" t="s">
        <v>9</v>
      </c>
      <c r="E19" s="15">
        <v>831</v>
      </c>
      <c r="F19" s="16">
        <v>97300</v>
      </c>
      <c r="G19" s="16">
        <f>F19*E19</f>
        <v>80856300</v>
      </c>
    </row>
    <row r="20" spans="1:7" ht="22" customHeight="1" x14ac:dyDescent="0.15">
      <c r="A20" s="7">
        <v>100124</v>
      </c>
      <c r="B20" s="12" t="s">
        <v>34</v>
      </c>
      <c r="C20" s="13" t="s">
        <v>33</v>
      </c>
      <c r="D20" s="14" t="s">
        <v>9</v>
      </c>
      <c r="E20" s="15">
        <v>831</v>
      </c>
      <c r="F20" s="16">
        <v>22900</v>
      </c>
      <c r="G20" s="16">
        <f>F20*E20</f>
        <v>19029900</v>
      </c>
    </row>
    <row r="21" spans="1:7" ht="22" customHeight="1" x14ac:dyDescent="0.15">
      <c r="A21" s="7">
        <v>100114</v>
      </c>
      <c r="B21" s="12" t="s">
        <v>57</v>
      </c>
      <c r="C21" s="13" t="s">
        <v>23</v>
      </c>
      <c r="D21" s="14" t="s">
        <v>14</v>
      </c>
      <c r="E21" s="15">
        <v>793</v>
      </c>
      <c r="F21" s="16">
        <v>42000</v>
      </c>
      <c r="G21" s="16">
        <f>F21*E21</f>
        <v>33306000</v>
      </c>
    </row>
    <row r="22" spans="1:7" ht="28.5" customHeight="1" x14ac:dyDescent="0.15">
      <c r="B22" s="226" t="s">
        <v>45</v>
      </c>
      <c r="C22" s="226"/>
      <c r="D22" s="226"/>
      <c r="E22" s="226"/>
      <c r="F22" s="226"/>
      <c r="G22" s="17">
        <f>SUM(G7:G21)</f>
        <v>222047360</v>
      </c>
    </row>
    <row r="23" spans="1:7" ht="16.5" customHeight="1" x14ac:dyDescent="0.15">
      <c r="B23" s="226" t="s">
        <v>46</v>
      </c>
      <c r="C23" s="226"/>
      <c r="D23" s="226"/>
      <c r="E23" s="226"/>
      <c r="F23" s="226"/>
      <c r="G23" s="17">
        <f>SUM(G7:G22)/2</f>
        <v>222047360</v>
      </c>
    </row>
    <row r="24" spans="1:7" ht="16.5" customHeight="1" x14ac:dyDescent="0.15">
      <c r="B24" s="225"/>
      <c r="C24" s="225"/>
      <c r="D24" s="225"/>
      <c r="E24" s="225"/>
      <c r="F24" s="225"/>
      <c r="G24" s="225"/>
    </row>
    <row r="25" spans="1:7" x14ac:dyDescent="0.15">
      <c r="B25" s="224" t="s">
        <v>47</v>
      </c>
      <c r="C25" s="224"/>
      <c r="D25" s="224"/>
      <c r="E25" s="224"/>
      <c r="F25" s="23">
        <v>0.25</v>
      </c>
      <c r="G25" s="16">
        <f>F25*$G$23</f>
        <v>55511840</v>
      </c>
    </row>
    <row r="26" spans="1:7" x14ac:dyDescent="0.15">
      <c r="B26" s="224" t="s">
        <v>48</v>
      </c>
      <c r="C26" s="224"/>
      <c r="D26" s="224"/>
      <c r="E26" s="224"/>
      <c r="F26" s="23">
        <v>0.05</v>
      </c>
      <c r="G26" s="16">
        <f>F26*$G$23</f>
        <v>11102368</v>
      </c>
    </row>
    <row r="27" spans="1:7" x14ac:dyDescent="0.15">
      <c r="B27" s="224" t="s">
        <v>49</v>
      </c>
      <c r="C27" s="224"/>
      <c r="D27" s="224"/>
      <c r="E27" s="224"/>
      <c r="F27" s="23">
        <v>0.05</v>
      </c>
      <c r="G27" s="16">
        <f>F27*$G$23</f>
        <v>11102368</v>
      </c>
    </row>
    <row r="28" spans="1:7" x14ac:dyDescent="0.15">
      <c r="B28" s="224" t="s">
        <v>50</v>
      </c>
      <c r="C28" s="224"/>
      <c r="D28" s="224"/>
      <c r="E28" s="224"/>
      <c r="F28" s="23">
        <f>SUM(F25:F27)</f>
        <v>0.35</v>
      </c>
      <c r="G28" s="16">
        <f>SUM(G25:G27)</f>
        <v>77716576</v>
      </c>
    </row>
    <row r="29" spans="1:7" ht="29.25" customHeight="1" x14ac:dyDescent="0.15">
      <c r="B29" s="225" t="s">
        <v>51</v>
      </c>
      <c r="C29" s="225"/>
      <c r="D29" s="225"/>
      <c r="E29" s="225"/>
      <c r="F29" s="225"/>
      <c r="G29" s="17">
        <f>G23+G28</f>
        <v>299763936</v>
      </c>
    </row>
    <row r="30" spans="1:7" x14ac:dyDescent="0.15">
      <c r="B30" s="18"/>
      <c r="C30" s="13"/>
      <c r="D30" s="19"/>
      <c r="E30" s="19"/>
      <c r="F30" s="19"/>
      <c r="G30" s="19"/>
    </row>
  </sheetData>
  <mergeCells count="9">
    <mergeCell ref="B28:E28"/>
    <mergeCell ref="B29:F29"/>
    <mergeCell ref="B23:F23"/>
    <mergeCell ref="B24:G24"/>
    <mergeCell ref="C1:F1"/>
    <mergeCell ref="B22:F22"/>
    <mergeCell ref="B25:E25"/>
    <mergeCell ref="B26:E26"/>
    <mergeCell ref="B27:E27"/>
  </mergeCells>
  <phoneticPr fontId="6" type="noConversion"/>
  <pageMargins left="0.7" right="0.7" top="0.75" bottom="0.75" header="0.3" footer="0.3"/>
  <pageSetup scale="46" fitToHeight="3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view="pageBreakPreview" topLeftCell="B12" zoomScale="70" zoomScaleNormal="70" zoomScaleSheetLayoutView="70" workbookViewId="0">
      <selection activeCell="B23" sqref="B23:F23"/>
    </sheetView>
  </sheetViews>
  <sheetFormatPr baseColWidth="10" defaultColWidth="10.83203125" defaultRowHeight="16" x14ac:dyDescent="0.2"/>
  <cols>
    <col min="1" max="1" width="12.1640625" style="24" hidden="1" customWidth="1"/>
    <col min="2" max="2" width="20.83203125" style="47" customWidth="1"/>
    <col min="3" max="3" width="75.33203125" style="48" customWidth="1"/>
    <col min="4" max="4" width="13" style="25" customWidth="1"/>
    <col min="5" max="5" width="20.83203125" style="25" customWidth="1"/>
    <col min="6" max="6" width="19.6640625" style="25" customWidth="1"/>
    <col min="7" max="7" width="26" style="62" customWidth="1"/>
    <col min="8" max="8" width="10.83203125" style="25"/>
    <col min="9" max="16384" width="10.83203125" style="26"/>
  </cols>
  <sheetData>
    <row r="1" spans="1:9" ht="56" customHeight="1" x14ac:dyDescent="0.2">
      <c r="B1" s="239" t="s">
        <v>52</v>
      </c>
      <c r="C1" s="239"/>
      <c r="D1" s="239"/>
      <c r="E1" s="239"/>
      <c r="F1" s="239"/>
      <c r="G1" s="239"/>
    </row>
    <row r="2" spans="1:9" s="27" customFormat="1" ht="61" customHeight="1" x14ac:dyDescent="0.2">
      <c r="B2" s="28" t="s">
        <v>53</v>
      </c>
      <c r="C2" s="240" t="s">
        <v>55</v>
      </c>
      <c r="D2" s="240"/>
      <c r="E2" s="240"/>
      <c r="F2" s="240"/>
      <c r="G2" s="240"/>
    </row>
    <row r="3" spans="1:9" ht="12.75" customHeight="1" x14ac:dyDescent="0.2">
      <c r="B3" s="29"/>
      <c r="C3" s="30"/>
      <c r="D3" s="31"/>
      <c r="E3" s="31"/>
      <c r="F3" s="31"/>
      <c r="G3" s="32"/>
    </row>
    <row r="4" spans="1:9" s="33" customFormat="1" ht="27.75" customHeight="1" x14ac:dyDescent="0.2">
      <c r="A4" s="35" t="s">
        <v>39</v>
      </c>
      <c r="B4" s="241"/>
      <c r="C4" s="36" t="s">
        <v>41</v>
      </c>
      <c r="D4" s="37" t="s">
        <v>42</v>
      </c>
      <c r="E4" s="37" t="s">
        <v>3</v>
      </c>
      <c r="F4" s="37" t="s">
        <v>43</v>
      </c>
      <c r="G4" s="38" t="s">
        <v>44</v>
      </c>
      <c r="H4" s="34"/>
    </row>
    <row r="5" spans="1:9" s="33" customFormat="1" ht="40" customHeight="1" x14ac:dyDescent="0.2">
      <c r="B5" s="241"/>
      <c r="C5" s="46" t="s">
        <v>6</v>
      </c>
      <c r="D5" s="46"/>
      <c r="E5" s="46"/>
      <c r="F5" s="46"/>
      <c r="G5" s="46"/>
      <c r="H5" s="44"/>
    </row>
    <row r="6" spans="1:9" s="33" customFormat="1" ht="28" customHeight="1" x14ac:dyDescent="0.2">
      <c r="B6" s="241"/>
      <c r="C6" s="39" t="s">
        <v>8</v>
      </c>
      <c r="D6" s="40" t="s">
        <v>9</v>
      </c>
      <c r="E6" s="41">
        <v>831</v>
      </c>
      <c r="F6" s="42">
        <v>4512</v>
      </c>
      <c r="G6" s="43">
        <f t="shared" ref="G6:G13" si="0">F6*E6</f>
        <v>3749472</v>
      </c>
      <c r="H6" s="44">
        <f>F6*1.2</f>
        <v>5414.4</v>
      </c>
    </row>
    <row r="7" spans="1:9" s="33" customFormat="1" ht="28" customHeight="1" x14ac:dyDescent="0.2">
      <c r="B7" s="241"/>
      <c r="C7" s="39" t="s">
        <v>19</v>
      </c>
      <c r="D7" s="40" t="s">
        <v>9</v>
      </c>
      <c r="E7" s="41">
        <v>300</v>
      </c>
      <c r="F7" s="42">
        <v>2304</v>
      </c>
      <c r="G7" s="43">
        <f t="shared" si="0"/>
        <v>691200</v>
      </c>
      <c r="H7" s="44">
        <f t="shared" ref="H7:H20" si="1">F7*1.2</f>
        <v>2764.7999999999997</v>
      </c>
    </row>
    <row r="8" spans="1:9" s="33" customFormat="1" ht="28" customHeight="1" x14ac:dyDescent="0.2">
      <c r="B8" s="241"/>
      <c r="C8" s="46" t="s">
        <v>24</v>
      </c>
      <c r="D8" s="46"/>
      <c r="E8" s="46"/>
      <c r="F8" s="46"/>
      <c r="G8" s="46"/>
      <c r="H8" s="44"/>
    </row>
    <row r="9" spans="1:9" s="33" customFormat="1" ht="28" customHeight="1" x14ac:dyDescent="0.2">
      <c r="B9" s="241"/>
      <c r="C9" s="39" t="s">
        <v>20</v>
      </c>
      <c r="D9" s="40" t="s">
        <v>9</v>
      </c>
      <c r="E9" s="41">
        <v>831</v>
      </c>
      <c r="F9" s="42">
        <v>6852</v>
      </c>
      <c r="G9" s="43">
        <f t="shared" si="0"/>
        <v>5694012</v>
      </c>
      <c r="H9" s="44">
        <f t="shared" si="1"/>
        <v>8222.4</v>
      </c>
    </row>
    <row r="10" spans="1:9" s="33" customFormat="1" ht="28" customHeight="1" x14ac:dyDescent="0.2">
      <c r="B10" s="241"/>
      <c r="C10" s="39" t="s">
        <v>26</v>
      </c>
      <c r="D10" s="40" t="s">
        <v>9</v>
      </c>
      <c r="E10" s="41">
        <v>831</v>
      </c>
      <c r="F10" s="42">
        <v>2316</v>
      </c>
      <c r="G10" s="43">
        <f t="shared" si="0"/>
        <v>1924596</v>
      </c>
      <c r="H10" s="44">
        <f t="shared" si="1"/>
        <v>2779.2</v>
      </c>
    </row>
    <row r="11" spans="1:9" s="33" customFormat="1" ht="28" customHeight="1" x14ac:dyDescent="0.2">
      <c r="B11" s="241"/>
      <c r="C11" s="39" t="s">
        <v>18</v>
      </c>
      <c r="D11" s="40" t="s">
        <v>14</v>
      </c>
      <c r="E11" s="41">
        <v>793</v>
      </c>
      <c r="F11" s="42">
        <v>2628</v>
      </c>
      <c r="G11" s="43">
        <f t="shared" si="0"/>
        <v>2084004</v>
      </c>
      <c r="H11" s="44">
        <f t="shared" si="1"/>
        <v>3153.6</v>
      </c>
    </row>
    <row r="12" spans="1:9" s="33" customFormat="1" ht="28" customHeight="1" x14ac:dyDescent="0.2">
      <c r="B12" s="241"/>
      <c r="C12" s="39" t="s">
        <v>21</v>
      </c>
      <c r="D12" s="40" t="s">
        <v>9</v>
      </c>
      <c r="E12" s="41">
        <v>163</v>
      </c>
      <c r="F12" s="42">
        <v>9456</v>
      </c>
      <c r="G12" s="43">
        <f t="shared" si="0"/>
        <v>1541328</v>
      </c>
      <c r="H12" s="44">
        <f t="shared" si="1"/>
        <v>11347.199999999999</v>
      </c>
    </row>
    <row r="13" spans="1:9" s="33" customFormat="1" ht="28" customHeight="1" x14ac:dyDescent="0.2">
      <c r="B13" s="241"/>
      <c r="C13" s="39" t="s">
        <v>22</v>
      </c>
      <c r="D13" s="40" t="s">
        <v>25</v>
      </c>
      <c r="E13" s="41">
        <v>216.06000000000003</v>
      </c>
      <c r="F13" s="42">
        <v>20064</v>
      </c>
      <c r="G13" s="43">
        <f t="shared" si="0"/>
        <v>4335027.8400000008</v>
      </c>
      <c r="H13" s="44">
        <f t="shared" si="1"/>
        <v>24076.799999999999</v>
      </c>
    </row>
    <row r="14" spans="1:9" s="33" customFormat="1" ht="28" customHeight="1" x14ac:dyDescent="0.2">
      <c r="B14" s="241"/>
      <c r="C14" s="46" t="s">
        <v>17</v>
      </c>
      <c r="D14" s="46"/>
      <c r="E14" s="46"/>
      <c r="F14" s="46"/>
      <c r="G14" s="46"/>
      <c r="H14" s="44"/>
    </row>
    <row r="15" spans="1:9" ht="28" customHeight="1" x14ac:dyDescent="0.2">
      <c r="A15" s="24">
        <v>10114</v>
      </c>
      <c r="B15" s="241"/>
      <c r="C15" s="39" t="s">
        <v>15</v>
      </c>
      <c r="D15" s="40" t="s">
        <v>14</v>
      </c>
      <c r="E15" s="41">
        <v>793</v>
      </c>
      <c r="F15" s="42">
        <v>6840</v>
      </c>
      <c r="G15" s="43">
        <f t="shared" ref="G15:G20" si="2">F15*E15</f>
        <v>5424120</v>
      </c>
      <c r="H15" s="44">
        <f t="shared" si="1"/>
        <v>8208</v>
      </c>
      <c r="I15" s="33"/>
    </row>
    <row r="16" spans="1:9" ht="28" customHeight="1" x14ac:dyDescent="0.2">
      <c r="A16" s="24">
        <v>100113</v>
      </c>
      <c r="B16" s="241"/>
      <c r="C16" s="39" t="s">
        <v>36</v>
      </c>
      <c r="D16" s="40" t="s">
        <v>9</v>
      </c>
      <c r="E16" s="41">
        <v>831</v>
      </c>
      <c r="F16" s="42">
        <v>17880</v>
      </c>
      <c r="G16" s="43">
        <f t="shared" si="2"/>
        <v>14858280</v>
      </c>
      <c r="H16" s="44">
        <f t="shared" si="1"/>
        <v>21456</v>
      </c>
      <c r="I16" s="33"/>
    </row>
    <row r="17" spans="1:9" ht="28" customHeight="1" x14ac:dyDescent="0.2">
      <c r="A17" s="24">
        <v>100124</v>
      </c>
      <c r="B17" s="241"/>
      <c r="C17" s="39" t="s">
        <v>16</v>
      </c>
      <c r="D17" s="40" t="s">
        <v>9</v>
      </c>
      <c r="E17" s="41">
        <v>831</v>
      </c>
      <c r="F17" s="42">
        <v>34224</v>
      </c>
      <c r="G17" s="43">
        <f t="shared" si="2"/>
        <v>28440144</v>
      </c>
      <c r="H17" s="44">
        <f t="shared" si="1"/>
        <v>41068.799999999996</v>
      </c>
      <c r="I17" s="33"/>
    </row>
    <row r="18" spans="1:9" ht="28" customHeight="1" x14ac:dyDescent="0.2">
      <c r="B18" s="241"/>
      <c r="C18" s="39" t="s">
        <v>35</v>
      </c>
      <c r="D18" s="40" t="s">
        <v>9</v>
      </c>
      <c r="E18" s="41">
        <v>831</v>
      </c>
      <c r="F18" s="42">
        <v>116760</v>
      </c>
      <c r="G18" s="43">
        <f t="shared" si="2"/>
        <v>97027560</v>
      </c>
      <c r="H18" s="44">
        <f t="shared" si="1"/>
        <v>140112</v>
      </c>
      <c r="I18" s="33"/>
    </row>
    <row r="19" spans="1:9" ht="28" customHeight="1" x14ac:dyDescent="0.2">
      <c r="B19" s="241"/>
      <c r="C19" s="39" t="s">
        <v>33</v>
      </c>
      <c r="D19" s="40" t="s">
        <v>9</v>
      </c>
      <c r="E19" s="41">
        <v>831</v>
      </c>
      <c r="F19" s="42">
        <v>27480</v>
      </c>
      <c r="G19" s="43">
        <f t="shared" si="2"/>
        <v>22835880</v>
      </c>
      <c r="H19" s="44">
        <f t="shared" si="1"/>
        <v>32976</v>
      </c>
      <c r="I19" s="33"/>
    </row>
    <row r="20" spans="1:9" ht="28" customHeight="1" x14ac:dyDescent="0.2">
      <c r="B20" s="241"/>
      <c r="C20" s="39" t="s">
        <v>23</v>
      </c>
      <c r="D20" s="40" t="s">
        <v>14</v>
      </c>
      <c r="E20" s="41">
        <v>793</v>
      </c>
      <c r="F20" s="42">
        <v>50400</v>
      </c>
      <c r="G20" s="43">
        <f t="shared" si="2"/>
        <v>39967200</v>
      </c>
      <c r="H20" s="44">
        <f t="shared" si="1"/>
        <v>60480</v>
      </c>
      <c r="I20" s="33"/>
    </row>
    <row r="21" spans="1:9" ht="28.5" customHeight="1" x14ac:dyDescent="0.2">
      <c r="B21" s="242" t="s">
        <v>45</v>
      </c>
      <c r="C21" s="243"/>
      <c r="D21" s="243"/>
      <c r="E21" s="243"/>
      <c r="F21" s="243"/>
      <c r="G21" s="45">
        <f>SUM(G6:G20)</f>
        <v>228572823.84</v>
      </c>
      <c r="H21" s="44"/>
    </row>
    <row r="22" spans="1:9" s="25" customFormat="1" ht="16.5" customHeight="1" x14ac:dyDescent="0.2">
      <c r="A22" s="24"/>
      <c r="B22" s="47"/>
      <c r="C22" s="48"/>
      <c r="G22" s="49"/>
      <c r="I22" s="26"/>
    </row>
    <row r="23" spans="1:9" s="52" customFormat="1" ht="39" customHeight="1" x14ac:dyDescent="0.25">
      <c r="A23" s="50"/>
      <c r="B23" s="233" t="s">
        <v>46</v>
      </c>
      <c r="C23" s="233"/>
      <c r="D23" s="233"/>
      <c r="E23" s="233"/>
      <c r="F23" s="233"/>
      <c r="G23" s="51">
        <f>SUM(G6:G21)/2</f>
        <v>228572823.84</v>
      </c>
    </row>
    <row r="24" spans="1:9" s="52" customFormat="1" ht="39" hidden="1" customHeight="1" x14ac:dyDescent="0.25">
      <c r="A24" s="50"/>
      <c r="B24" s="234"/>
      <c r="C24" s="235"/>
      <c r="D24" s="235"/>
      <c r="E24" s="235"/>
      <c r="F24" s="235"/>
      <c r="G24" s="236"/>
    </row>
    <row r="25" spans="1:9" s="52" customFormat="1" ht="39" hidden="1" customHeight="1" x14ac:dyDescent="0.25">
      <c r="A25" s="50"/>
      <c r="B25" s="237" t="s">
        <v>47</v>
      </c>
      <c r="C25" s="237"/>
      <c r="D25" s="237"/>
      <c r="E25" s="237"/>
      <c r="F25" s="53">
        <v>0.27</v>
      </c>
      <c r="G25" s="51">
        <f>F25*$G$23</f>
        <v>61714662.436800003</v>
      </c>
    </row>
    <row r="26" spans="1:9" s="52" customFormat="1" ht="39" hidden="1" customHeight="1" x14ac:dyDescent="0.25">
      <c r="A26" s="50"/>
      <c r="B26" s="237" t="s">
        <v>48</v>
      </c>
      <c r="C26" s="237"/>
      <c r="D26" s="237"/>
      <c r="E26" s="237"/>
      <c r="F26" s="53">
        <v>7.0000000000000007E-2</v>
      </c>
      <c r="G26" s="51">
        <f>F26*$G$23</f>
        <v>16000097.668800002</v>
      </c>
    </row>
    <row r="27" spans="1:9" s="52" customFormat="1" ht="39" hidden="1" customHeight="1" x14ac:dyDescent="0.25">
      <c r="A27" s="50"/>
      <c r="B27" s="238" t="s">
        <v>49</v>
      </c>
      <c r="C27" s="238"/>
      <c r="D27" s="238"/>
      <c r="E27" s="238"/>
      <c r="F27" s="54">
        <v>0.01</v>
      </c>
      <c r="G27" s="51">
        <f>F27*$G$23</f>
        <v>2285728.2384000001</v>
      </c>
    </row>
    <row r="28" spans="1:9" s="52" customFormat="1" ht="39" customHeight="1" x14ac:dyDescent="0.25">
      <c r="A28" s="50"/>
      <c r="B28" s="234" t="s">
        <v>50</v>
      </c>
      <c r="C28" s="235"/>
      <c r="D28" s="235"/>
      <c r="E28" s="235"/>
      <c r="F28" s="55">
        <v>0.4</v>
      </c>
      <c r="G28" s="56">
        <f>G23*F28</f>
        <v>91429129.536000013</v>
      </c>
    </row>
    <row r="29" spans="1:9" s="57" customFormat="1" ht="39" customHeight="1" x14ac:dyDescent="0.25">
      <c r="A29" s="27"/>
      <c r="B29" s="230" t="s">
        <v>51</v>
      </c>
      <c r="C29" s="231"/>
      <c r="D29" s="231"/>
      <c r="E29" s="231"/>
      <c r="F29" s="232"/>
      <c r="G29" s="51">
        <f>G23+G28</f>
        <v>320001953.37600005</v>
      </c>
    </row>
    <row r="30" spans="1:9" s="25" customFormat="1" ht="17" thickBot="1" x14ac:dyDescent="0.25">
      <c r="A30" s="24"/>
      <c r="B30" s="58"/>
      <c r="C30" s="59"/>
      <c r="D30" s="60"/>
      <c r="E30" s="60"/>
      <c r="F30" s="60"/>
      <c r="G30" s="61"/>
      <c r="I30" s="26"/>
    </row>
  </sheetData>
  <mergeCells count="11">
    <mergeCell ref="B1:G1"/>
    <mergeCell ref="C2:G2"/>
    <mergeCell ref="B4:B20"/>
    <mergeCell ref="B21:F21"/>
    <mergeCell ref="B28:E28"/>
    <mergeCell ref="B29:F29"/>
    <mergeCell ref="B23:F23"/>
    <mergeCell ref="B24:G24"/>
    <mergeCell ref="B25:E25"/>
    <mergeCell ref="B26:E26"/>
    <mergeCell ref="B27:E27"/>
  </mergeCells>
  <pageMargins left="0.7" right="0.7" top="0.75" bottom="0.75" header="0.3" footer="0.3"/>
  <pageSetup scale="48" fitToHeight="4" orientation="portrait" horizontalDpi="360" verticalDpi="360" r:id="rId1"/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view="pageBreakPreview" topLeftCell="B3" zoomScale="70" zoomScaleNormal="70" zoomScaleSheetLayoutView="70" workbookViewId="0">
      <selection activeCell="C38" sqref="C38"/>
    </sheetView>
  </sheetViews>
  <sheetFormatPr baseColWidth="10" defaultColWidth="10.83203125" defaultRowHeight="17" x14ac:dyDescent="0.25"/>
  <cols>
    <col min="1" max="1" width="12.1640625" style="63" hidden="1" customWidth="1"/>
    <col min="2" max="2" width="20.83203125" style="82" customWidth="1"/>
    <col min="3" max="3" width="75.33203125" style="83" customWidth="1"/>
    <col min="4" max="4" width="13" style="64" customWidth="1"/>
    <col min="5" max="5" width="20.83203125" style="64" customWidth="1"/>
    <col min="6" max="6" width="19.6640625" style="64" customWidth="1"/>
    <col min="7" max="7" width="26" style="64" customWidth="1"/>
    <col min="8" max="8" width="36.5" style="64" customWidth="1"/>
    <col min="9" max="9" width="19.6640625" style="64" customWidth="1"/>
    <col min="10" max="16384" width="10.83203125" style="65"/>
  </cols>
  <sheetData>
    <row r="1" spans="1:9" ht="56" customHeight="1" x14ac:dyDescent="0.25">
      <c r="B1" s="244" t="s">
        <v>54</v>
      </c>
      <c r="C1" s="245"/>
      <c r="D1" s="245"/>
      <c r="E1" s="245"/>
      <c r="F1" s="245"/>
      <c r="G1" s="245"/>
      <c r="I1" s="65"/>
    </row>
    <row r="2" spans="1:9" s="66" customFormat="1" ht="68" customHeight="1" x14ac:dyDescent="0.2">
      <c r="B2" s="67"/>
      <c r="C2" s="246" t="s">
        <v>55</v>
      </c>
      <c r="D2" s="246"/>
      <c r="E2" s="246"/>
      <c r="F2" s="246"/>
      <c r="G2" s="246"/>
    </row>
    <row r="3" spans="1:9" ht="12.75" customHeight="1" x14ac:dyDescent="0.25">
      <c r="B3" s="68"/>
      <c r="C3" s="69"/>
      <c r="D3" s="70"/>
      <c r="E3" s="70"/>
      <c r="F3" s="70"/>
      <c r="G3" s="70"/>
      <c r="I3" s="70"/>
    </row>
    <row r="4" spans="1:9" s="71" customFormat="1" ht="13" customHeight="1" x14ac:dyDescent="0.25">
      <c r="B4" s="70"/>
      <c r="C4" s="73"/>
      <c r="D4" s="73"/>
      <c r="E4" s="73"/>
      <c r="F4" s="73"/>
      <c r="G4" s="73"/>
      <c r="H4" s="72"/>
      <c r="I4" s="73"/>
    </row>
    <row r="5" spans="1:9" s="71" customFormat="1" ht="27.75" customHeight="1" x14ac:dyDescent="0.25">
      <c r="A5" s="74" t="s">
        <v>39</v>
      </c>
      <c r="B5" s="247"/>
      <c r="C5" s="75" t="s">
        <v>41</v>
      </c>
      <c r="D5" s="76" t="s">
        <v>42</v>
      </c>
      <c r="E5" s="76" t="s">
        <v>3</v>
      </c>
      <c r="F5" s="76" t="s">
        <v>43</v>
      </c>
      <c r="G5" s="76" t="s">
        <v>44</v>
      </c>
      <c r="H5" s="72"/>
      <c r="I5" s="76" t="s">
        <v>43</v>
      </c>
    </row>
    <row r="6" spans="1:9" s="71" customFormat="1" ht="20" customHeight="1" x14ac:dyDescent="0.25">
      <c r="A6" s="74"/>
      <c r="B6" s="247"/>
      <c r="C6" s="94" t="s">
        <v>6</v>
      </c>
      <c r="D6" s="95"/>
      <c r="E6" s="95"/>
      <c r="F6" s="95"/>
      <c r="G6" s="95"/>
      <c r="H6" s="72"/>
      <c r="I6" s="76"/>
    </row>
    <row r="7" spans="1:9" s="71" customFormat="1" ht="20" customHeight="1" x14ac:dyDescent="0.25">
      <c r="B7" s="247"/>
      <c r="C7" s="77" t="s">
        <v>8</v>
      </c>
      <c r="D7" s="78" t="s">
        <v>9</v>
      </c>
      <c r="E7" s="79">
        <v>831</v>
      </c>
      <c r="F7" s="80">
        <v>4700</v>
      </c>
      <c r="G7" s="80">
        <f t="shared" ref="G7:G17" si="0">F7*E7</f>
        <v>3905700</v>
      </c>
      <c r="H7" s="72"/>
      <c r="I7" s="80">
        <f>F7*1.25</f>
        <v>5875</v>
      </c>
    </row>
    <row r="8" spans="1:9" s="71" customFormat="1" ht="20" customHeight="1" x14ac:dyDescent="0.25">
      <c r="B8" s="247"/>
      <c r="C8" s="77" t="s">
        <v>19</v>
      </c>
      <c r="D8" s="78" t="s">
        <v>9</v>
      </c>
      <c r="E8" s="79">
        <v>300</v>
      </c>
      <c r="F8" s="80">
        <v>2400</v>
      </c>
      <c r="G8" s="80">
        <f t="shared" si="0"/>
        <v>720000</v>
      </c>
      <c r="H8" s="72"/>
      <c r="I8" s="80">
        <f t="shared" ref="I8:I21" si="1">F8*1.25</f>
        <v>3000</v>
      </c>
    </row>
    <row r="9" spans="1:9" s="71" customFormat="1" ht="20" customHeight="1" x14ac:dyDescent="0.25">
      <c r="A9" s="74"/>
      <c r="B9" s="247"/>
      <c r="C9" s="94" t="s">
        <v>24</v>
      </c>
      <c r="D9" s="95"/>
      <c r="E9" s="95"/>
      <c r="F9" s="95"/>
      <c r="G9" s="95"/>
      <c r="H9" s="72"/>
      <c r="I9" s="80"/>
    </row>
    <row r="10" spans="1:9" s="71" customFormat="1" ht="20" customHeight="1" x14ac:dyDescent="0.25">
      <c r="B10" s="247"/>
      <c r="C10" s="77" t="s">
        <v>20</v>
      </c>
      <c r="D10" s="78" t="s">
        <v>9</v>
      </c>
      <c r="E10" s="79">
        <v>831</v>
      </c>
      <c r="F10" s="80">
        <v>7137.5</v>
      </c>
      <c r="G10" s="80">
        <f t="shared" si="0"/>
        <v>5931262.5</v>
      </c>
      <c r="H10" s="72"/>
      <c r="I10" s="80">
        <f t="shared" si="1"/>
        <v>8921.875</v>
      </c>
    </row>
    <row r="11" spans="1:9" s="71" customFormat="1" ht="20" customHeight="1" x14ac:dyDescent="0.25">
      <c r="B11" s="247"/>
      <c r="C11" s="77" t="s">
        <v>26</v>
      </c>
      <c r="D11" s="78" t="s">
        <v>9</v>
      </c>
      <c r="E11" s="79">
        <v>831</v>
      </c>
      <c r="F11" s="80">
        <v>2412.5</v>
      </c>
      <c r="G11" s="80">
        <f t="shared" si="0"/>
        <v>2004787.5</v>
      </c>
      <c r="H11" s="72"/>
      <c r="I11" s="80">
        <f t="shared" si="1"/>
        <v>3015.625</v>
      </c>
    </row>
    <row r="12" spans="1:9" s="71" customFormat="1" ht="20" customHeight="1" x14ac:dyDescent="0.25">
      <c r="B12" s="247"/>
      <c r="C12" s="77" t="s">
        <v>18</v>
      </c>
      <c r="D12" s="78" t="s">
        <v>14</v>
      </c>
      <c r="E12" s="79">
        <v>793</v>
      </c>
      <c r="F12" s="80">
        <v>2737.5</v>
      </c>
      <c r="G12" s="80">
        <f t="shared" si="0"/>
        <v>2170837.5</v>
      </c>
      <c r="H12" s="72"/>
      <c r="I12" s="80">
        <f t="shared" si="1"/>
        <v>3421.875</v>
      </c>
    </row>
    <row r="13" spans="1:9" s="71" customFormat="1" ht="20" customHeight="1" x14ac:dyDescent="0.25">
      <c r="B13" s="247"/>
      <c r="C13" s="77" t="s">
        <v>21</v>
      </c>
      <c r="D13" s="78" t="s">
        <v>9</v>
      </c>
      <c r="E13" s="79">
        <v>163</v>
      </c>
      <c r="F13" s="80">
        <v>9850</v>
      </c>
      <c r="G13" s="80">
        <f t="shared" si="0"/>
        <v>1605550</v>
      </c>
      <c r="H13" s="72"/>
      <c r="I13" s="80">
        <f t="shared" si="1"/>
        <v>12312.5</v>
      </c>
    </row>
    <row r="14" spans="1:9" s="71" customFormat="1" ht="20" customHeight="1" x14ac:dyDescent="0.25">
      <c r="B14" s="247"/>
      <c r="C14" s="77" t="s">
        <v>22</v>
      </c>
      <c r="D14" s="78" t="s">
        <v>25</v>
      </c>
      <c r="E14" s="79">
        <v>216.06000000000003</v>
      </c>
      <c r="F14" s="80">
        <v>20900</v>
      </c>
      <c r="G14" s="80">
        <f t="shared" si="0"/>
        <v>4515654.0000000009</v>
      </c>
      <c r="H14" s="72"/>
      <c r="I14" s="80">
        <f t="shared" si="1"/>
        <v>26125</v>
      </c>
    </row>
    <row r="15" spans="1:9" s="71" customFormat="1" ht="20" customHeight="1" x14ac:dyDescent="0.25">
      <c r="B15" s="247"/>
      <c r="C15" s="94" t="s">
        <v>17</v>
      </c>
      <c r="D15" s="95"/>
      <c r="E15" s="95"/>
      <c r="F15" s="95"/>
      <c r="G15" s="95"/>
      <c r="H15" s="72"/>
      <c r="I15" s="80"/>
    </row>
    <row r="16" spans="1:9" s="71" customFormat="1" ht="20" customHeight="1" x14ac:dyDescent="0.25">
      <c r="B16" s="247"/>
      <c r="C16" s="77" t="s">
        <v>15</v>
      </c>
      <c r="D16" s="78" t="s">
        <v>14</v>
      </c>
      <c r="E16" s="79">
        <v>793</v>
      </c>
      <c r="F16" s="80">
        <v>7125</v>
      </c>
      <c r="G16" s="80">
        <f t="shared" si="0"/>
        <v>5650125</v>
      </c>
      <c r="H16" s="72"/>
      <c r="I16" s="80">
        <f t="shared" si="1"/>
        <v>8906.25</v>
      </c>
    </row>
    <row r="17" spans="1:9" s="71" customFormat="1" ht="20" customHeight="1" x14ac:dyDescent="0.25">
      <c r="B17" s="247"/>
      <c r="C17" s="77" t="s">
        <v>36</v>
      </c>
      <c r="D17" s="78" t="s">
        <v>9</v>
      </c>
      <c r="E17" s="79">
        <v>831</v>
      </c>
      <c r="F17" s="80">
        <v>18625</v>
      </c>
      <c r="G17" s="80">
        <f t="shared" si="0"/>
        <v>15477375</v>
      </c>
      <c r="H17" s="72"/>
      <c r="I17" s="80">
        <f t="shared" si="1"/>
        <v>23281.25</v>
      </c>
    </row>
    <row r="18" spans="1:9" ht="20" customHeight="1" x14ac:dyDescent="0.25">
      <c r="A18" s="63">
        <v>10114</v>
      </c>
      <c r="B18" s="247"/>
      <c r="C18" s="77" t="s">
        <v>16</v>
      </c>
      <c r="D18" s="78" t="s">
        <v>9</v>
      </c>
      <c r="E18" s="79">
        <v>831</v>
      </c>
      <c r="F18" s="80">
        <v>35650</v>
      </c>
      <c r="G18" s="80">
        <f>F18*E18</f>
        <v>29625150</v>
      </c>
      <c r="I18" s="80">
        <f t="shared" si="1"/>
        <v>44562.5</v>
      </c>
    </row>
    <row r="19" spans="1:9" ht="20" customHeight="1" x14ac:dyDescent="0.25">
      <c r="A19" s="63">
        <v>100113</v>
      </c>
      <c r="B19" s="247"/>
      <c r="C19" s="77" t="s">
        <v>35</v>
      </c>
      <c r="D19" s="78" t="s">
        <v>9</v>
      </c>
      <c r="E19" s="79">
        <v>831</v>
      </c>
      <c r="F19" s="80">
        <v>121625</v>
      </c>
      <c r="G19" s="80">
        <f>F19*E19</f>
        <v>101070375</v>
      </c>
      <c r="I19" s="80">
        <f t="shared" si="1"/>
        <v>152031.25</v>
      </c>
    </row>
    <row r="20" spans="1:9" ht="20" customHeight="1" x14ac:dyDescent="0.25">
      <c r="A20" s="63">
        <v>100124</v>
      </c>
      <c r="B20" s="247"/>
      <c r="C20" s="77" t="s">
        <v>33</v>
      </c>
      <c r="D20" s="78" t="s">
        <v>9</v>
      </c>
      <c r="E20" s="79">
        <v>831</v>
      </c>
      <c r="F20" s="80">
        <v>28625</v>
      </c>
      <c r="G20" s="80">
        <f>F20*E20</f>
        <v>23787375</v>
      </c>
      <c r="I20" s="80">
        <f t="shared" si="1"/>
        <v>35781.25</v>
      </c>
    </row>
    <row r="21" spans="1:9" ht="20" customHeight="1" x14ac:dyDescent="0.25">
      <c r="A21" s="63">
        <v>100114</v>
      </c>
      <c r="B21" s="247"/>
      <c r="C21" s="77" t="s">
        <v>23</v>
      </c>
      <c r="D21" s="78" t="s">
        <v>14</v>
      </c>
      <c r="E21" s="79">
        <v>793</v>
      </c>
      <c r="F21" s="80">
        <v>52500</v>
      </c>
      <c r="G21" s="80">
        <f>F21*E21</f>
        <v>41632500</v>
      </c>
      <c r="I21" s="80">
        <f t="shared" si="1"/>
        <v>65625</v>
      </c>
    </row>
    <row r="22" spans="1:9" ht="28.5" customHeight="1" x14ac:dyDescent="0.25">
      <c r="B22" s="248" t="s">
        <v>45</v>
      </c>
      <c r="C22" s="249"/>
      <c r="D22" s="249"/>
      <c r="E22" s="249"/>
      <c r="F22" s="249"/>
      <c r="G22" s="81">
        <f>SUM(G7:G21)</f>
        <v>238096691.5</v>
      </c>
      <c r="I22" s="65"/>
    </row>
    <row r="23" spans="1:9" ht="16.5" hidden="1" customHeight="1" x14ac:dyDescent="0.25"/>
    <row r="24" spans="1:9" ht="16.5" hidden="1" customHeight="1" x14ac:dyDescent="0.25">
      <c r="B24" s="253" t="s">
        <v>46</v>
      </c>
      <c r="C24" s="254"/>
      <c r="D24" s="254"/>
      <c r="E24" s="254"/>
      <c r="F24" s="255"/>
      <c r="G24" s="84">
        <f>SUM(G7:G22)/2</f>
        <v>238096691.5</v>
      </c>
      <c r="I24" s="65"/>
    </row>
    <row r="25" spans="1:9" ht="16.5" hidden="1" customHeight="1" x14ac:dyDescent="0.25">
      <c r="B25" s="256"/>
      <c r="C25" s="257"/>
      <c r="D25" s="257"/>
      <c r="E25" s="257"/>
      <c r="F25" s="257"/>
      <c r="G25" s="258"/>
      <c r="I25" s="65"/>
    </row>
    <row r="26" spans="1:9" ht="17" hidden="1" customHeight="1" x14ac:dyDescent="0.25">
      <c r="B26" s="259" t="s">
        <v>47</v>
      </c>
      <c r="C26" s="260"/>
      <c r="D26" s="260"/>
      <c r="E26" s="261"/>
      <c r="F26" s="85">
        <v>0.27</v>
      </c>
      <c r="G26" s="80">
        <f>F26*$G$24</f>
        <v>64286106.705000006</v>
      </c>
      <c r="I26" s="85">
        <v>0.27</v>
      </c>
    </row>
    <row r="27" spans="1:9" ht="17" hidden="1" customHeight="1" x14ac:dyDescent="0.25">
      <c r="B27" s="259" t="s">
        <v>48</v>
      </c>
      <c r="C27" s="260"/>
      <c r="D27" s="260"/>
      <c r="E27" s="261"/>
      <c r="F27" s="85">
        <v>7.0000000000000007E-2</v>
      </c>
      <c r="G27" s="80">
        <f>F27*$G$24</f>
        <v>16666768.405000001</v>
      </c>
      <c r="I27" s="85">
        <v>7.0000000000000007E-2</v>
      </c>
    </row>
    <row r="28" spans="1:9" ht="17" hidden="1" customHeight="1" x14ac:dyDescent="0.25">
      <c r="B28" s="259" t="s">
        <v>49</v>
      </c>
      <c r="C28" s="260"/>
      <c r="D28" s="260"/>
      <c r="E28" s="261"/>
      <c r="F28" s="85">
        <v>0.01</v>
      </c>
      <c r="G28" s="80">
        <f>F28*$G$24</f>
        <v>2380966.915</v>
      </c>
      <c r="I28" s="85">
        <v>0.01</v>
      </c>
    </row>
    <row r="29" spans="1:9" ht="17" hidden="1" customHeight="1" x14ac:dyDescent="0.25">
      <c r="B29" s="259" t="s">
        <v>50</v>
      </c>
      <c r="C29" s="260"/>
      <c r="D29" s="260"/>
      <c r="E29" s="261"/>
      <c r="F29" s="85">
        <f>SUM(F26:F28)</f>
        <v>0.35000000000000003</v>
      </c>
      <c r="G29" s="80">
        <f>SUM(G26:G28)</f>
        <v>83333842.025000021</v>
      </c>
      <c r="I29" s="85">
        <f>SUM(I26:I28)</f>
        <v>0.35000000000000003</v>
      </c>
    </row>
    <row r="30" spans="1:9" s="71" customFormat="1" ht="29.25" customHeight="1" x14ac:dyDescent="0.2">
      <c r="A30" s="74"/>
      <c r="B30" s="250" t="s">
        <v>51</v>
      </c>
      <c r="C30" s="251"/>
      <c r="D30" s="251"/>
      <c r="E30" s="251"/>
      <c r="F30" s="252"/>
      <c r="G30" s="86">
        <f>G24+G29</f>
        <v>321430533.52500004</v>
      </c>
      <c r="H30" s="87">
        <v>222151905.60143992</v>
      </c>
    </row>
    <row r="31" spans="1:9" ht="18" thickBot="1" x14ac:dyDescent="0.3">
      <c r="B31" s="88"/>
      <c r="C31" s="89"/>
      <c r="D31" s="90"/>
      <c r="E31" s="90"/>
      <c r="F31" s="90"/>
      <c r="G31" s="90"/>
      <c r="I31" s="90"/>
    </row>
  </sheetData>
  <mergeCells count="11">
    <mergeCell ref="B1:G1"/>
    <mergeCell ref="C2:G2"/>
    <mergeCell ref="B5:B21"/>
    <mergeCell ref="B22:F22"/>
    <mergeCell ref="B30:F30"/>
    <mergeCell ref="B24:F24"/>
    <mergeCell ref="B25:G25"/>
    <mergeCell ref="B26:E26"/>
    <mergeCell ref="B27:E27"/>
    <mergeCell ref="B28:E28"/>
    <mergeCell ref="B29:E29"/>
  </mergeCells>
  <pageMargins left="0.7" right="0.7" top="0.75" bottom="0.75" header="0.3" footer="0.3"/>
  <pageSetup scale="48" fitToHeight="3" orientation="portrait" horizontalDpi="360" verticalDpi="360" r:id="rId1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3709-CF70-46EE-A7C4-0431B5A88893}">
  <sheetPr>
    <pageSetUpPr fitToPage="1"/>
  </sheetPr>
  <dimension ref="B1:CK170"/>
  <sheetViews>
    <sheetView tabSelected="1" view="pageBreakPreview" zoomScale="70" zoomScaleNormal="70" zoomScaleSheetLayoutView="70" workbookViewId="0">
      <selection activeCell="CK3" sqref="CK3"/>
    </sheetView>
  </sheetViews>
  <sheetFormatPr baseColWidth="10" defaultColWidth="53.5" defaultRowHeight="15" x14ac:dyDescent="0.2"/>
  <cols>
    <col min="1" max="1" width="10.1640625" style="157" customWidth="1"/>
    <col min="2" max="2" width="60.83203125" style="184" customWidth="1"/>
    <col min="3" max="3" width="15.33203125" style="190" customWidth="1"/>
    <col min="4" max="87" width="1.6640625" style="157" customWidth="1"/>
    <col min="88" max="16384" width="53.5" style="157"/>
  </cols>
  <sheetData>
    <row r="1" spans="2:89" x14ac:dyDescent="0.2">
      <c r="B1" s="262" t="s">
        <v>463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</row>
    <row r="2" spans="2:89" ht="16" thickBot="1" x14ac:dyDescent="0.25">
      <c r="B2" s="264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</row>
    <row r="3" spans="2:89" s="173" customFormat="1" ht="24" customHeight="1" thickBot="1" x14ac:dyDescent="0.25">
      <c r="B3" s="179" t="s">
        <v>286</v>
      </c>
      <c r="C3" s="185" t="s">
        <v>287</v>
      </c>
      <c r="D3" s="275" t="s">
        <v>451</v>
      </c>
      <c r="E3" s="272"/>
      <c r="F3" s="272"/>
      <c r="G3" s="272"/>
      <c r="H3" s="272"/>
      <c r="I3" s="272"/>
      <c r="J3" s="273"/>
      <c r="K3" s="271" t="s">
        <v>452</v>
      </c>
      <c r="L3" s="272"/>
      <c r="M3" s="272"/>
      <c r="N3" s="272"/>
      <c r="O3" s="272"/>
      <c r="P3" s="272"/>
      <c r="Q3" s="273"/>
      <c r="R3" s="271" t="s">
        <v>453</v>
      </c>
      <c r="S3" s="272"/>
      <c r="T3" s="272"/>
      <c r="U3" s="272"/>
      <c r="V3" s="272"/>
      <c r="W3" s="272"/>
      <c r="X3" s="273"/>
      <c r="Y3" s="271" t="s">
        <v>454</v>
      </c>
      <c r="Z3" s="272"/>
      <c r="AA3" s="272"/>
      <c r="AB3" s="272"/>
      <c r="AC3" s="272"/>
      <c r="AD3" s="272"/>
      <c r="AE3" s="274"/>
      <c r="AF3" s="275" t="s">
        <v>455</v>
      </c>
      <c r="AG3" s="272"/>
      <c r="AH3" s="272"/>
      <c r="AI3" s="272"/>
      <c r="AJ3" s="272"/>
      <c r="AK3" s="272"/>
      <c r="AL3" s="273"/>
      <c r="AM3" s="271" t="s">
        <v>457</v>
      </c>
      <c r="AN3" s="272"/>
      <c r="AO3" s="272"/>
      <c r="AP3" s="272"/>
      <c r="AQ3" s="272"/>
      <c r="AR3" s="272"/>
      <c r="AS3" s="273"/>
      <c r="AT3" s="271" t="s">
        <v>456</v>
      </c>
      <c r="AU3" s="272"/>
      <c r="AV3" s="272"/>
      <c r="AW3" s="272"/>
      <c r="AX3" s="272"/>
      <c r="AY3" s="272"/>
      <c r="AZ3" s="273"/>
      <c r="BA3" s="271" t="s">
        <v>458</v>
      </c>
      <c r="BB3" s="272"/>
      <c r="BC3" s="272"/>
      <c r="BD3" s="272"/>
      <c r="BE3" s="272"/>
      <c r="BF3" s="272"/>
      <c r="BG3" s="274"/>
      <c r="BH3" s="275" t="s">
        <v>459</v>
      </c>
      <c r="BI3" s="272"/>
      <c r="BJ3" s="272"/>
      <c r="BK3" s="272"/>
      <c r="BL3" s="272"/>
      <c r="BM3" s="272"/>
      <c r="BN3" s="273"/>
      <c r="BO3" s="271" t="s">
        <v>460</v>
      </c>
      <c r="BP3" s="272"/>
      <c r="BQ3" s="272"/>
      <c r="BR3" s="272"/>
      <c r="BS3" s="272"/>
      <c r="BT3" s="272"/>
      <c r="BU3" s="273"/>
      <c r="BV3" s="271" t="s">
        <v>461</v>
      </c>
      <c r="BW3" s="272"/>
      <c r="BX3" s="272"/>
      <c r="BY3" s="272"/>
      <c r="BZ3" s="272"/>
      <c r="CA3" s="272"/>
      <c r="CB3" s="273"/>
      <c r="CC3" s="271" t="s">
        <v>462</v>
      </c>
      <c r="CD3" s="272"/>
      <c r="CE3" s="272"/>
      <c r="CF3" s="272"/>
      <c r="CG3" s="272"/>
      <c r="CH3" s="272"/>
      <c r="CI3" s="274"/>
      <c r="CJ3" s="205"/>
      <c r="CK3" s="205"/>
    </row>
    <row r="4" spans="2:89" x14ac:dyDescent="0.2">
      <c r="B4" s="180" t="s">
        <v>288</v>
      </c>
      <c r="C4" s="186" t="s">
        <v>467</v>
      </c>
      <c r="D4" s="191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3"/>
      <c r="AF4" s="191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3"/>
      <c r="BH4" s="191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3"/>
    </row>
    <row r="5" spans="2:89" x14ac:dyDescent="0.2">
      <c r="B5" s="181" t="s">
        <v>289</v>
      </c>
      <c r="C5" s="187" t="s">
        <v>290</v>
      </c>
      <c r="D5" s="266" t="s">
        <v>241</v>
      </c>
      <c r="E5" s="267"/>
      <c r="F5" s="267"/>
      <c r="G5" s="267"/>
      <c r="H5" s="268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5"/>
      <c r="AF5" s="266" t="s">
        <v>281</v>
      </c>
      <c r="AG5" s="267"/>
      <c r="AH5" s="267"/>
      <c r="AI5" s="267"/>
      <c r="AJ5" s="268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5"/>
      <c r="BH5" s="266" t="s">
        <v>464</v>
      </c>
      <c r="BI5" s="267"/>
      <c r="BJ5" s="267"/>
      <c r="BK5" s="267"/>
      <c r="BL5" s="268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5"/>
    </row>
    <row r="6" spans="2:89" x14ac:dyDescent="0.2">
      <c r="B6" s="181" t="s">
        <v>291</v>
      </c>
      <c r="C6" s="187" t="s">
        <v>292</v>
      </c>
      <c r="D6" s="174"/>
      <c r="E6" s="172"/>
      <c r="F6" s="172"/>
      <c r="G6" s="269" t="s">
        <v>241</v>
      </c>
      <c r="H6" s="270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5"/>
      <c r="AF6" s="174"/>
      <c r="AG6" s="172"/>
      <c r="AH6" s="172"/>
      <c r="AI6" s="269" t="s">
        <v>281</v>
      </c>
      <c r="AJ6" s="270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5"/>
      <c r="BH6" s="174"/>
      <c r="BI6" s="172"/>
      <c r="BJ6" s="172"/>
      <c r="BK6" s="269" t="s">
        <v>464</v>
      </c>
      <c r="BL6" s="270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5"/>
    </row>
    <row r="7" spans="2:89" x14ac:dyDescent="0.2">
      <c r="B7" s="180" t="s">
        <v>24</v>
      </c>
      <c r="C7" s="186" t="s">
        <v>293</v>
      </c>
      <c r="D7" s="191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F7" s="191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3"/>
      <c r="BH7" s="191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3"/>
    </row>
    <row r="8" spans="2:89" x14ac:dyDescent="0.2">
      <c r="B8" s="181" t="s">
        <v>294</v>
      </c>
      <c r="C8" s="187" t="s">
        <v>295</v>
      </c>
      <c r="D8" s="174"/>
      <c r="E8" s="172"/>
      <c r="F8" s="172"/>
      <c r="G8" s="276" t="s">
        <v>241</v>
      </c>
      <c r="H8" s="267"/>
      <c r="I8" s="267"/>
      <c r="J8" s="267"/>
      <c r="K8" s="267"/>
      <c r="L8" s="267"/>
      <c r="M8" s="267"/>
      <c r="N8" s="267"/>
      <c r="O8" s="267"/>
      <c r="P8" s="268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5"/>
      <c r="AF8" s="174"/>
      <c r="AG8" s="172"/>
      <c r="AH8" s="172"/>
      <c r="AI8" s="276" t="s">
        <v>281</v>
      </c>
      <c r="AJ8" s="267"/>
      <c r="AK8" s="267"/>
      <c r="AL8" s="267"/>
      <c r="AM8" s="267"/>
      <c r="AN8" s="267"/>
      <c r="AO8" s="267"/>
      <c r="AP8" s="267"/>
      <c r="AQ8" s="267"/>
      <c r="AR8" s="268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5"/>
      <c r="BH8" s="174"/>
      <c r="BI8" s="172"/>
      <c r="BJ8" s="172"/>
      <c r="BK8" s="276" t="s">
        <v>464</v>
      </c>
      <c r="BL8" s="267"/>
      <c r="BM8" s="267"/>
      <c r="BN8" s="267"/>
      <c r="BO8" s="267"/>
      <c r="BP8" s="267"/>
      <c r="BQ8" s="267"/>
      <c r="BR8" s="267"/>
      <c r="BS8" s="267"/>
      <c r="BT8" s="268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5"/>
    </row>
    <row r="9" spans="2:89" x14ac:dyDescent="0.2">
      <c r="B9" s="181" t="s">
        <v>296</v>
      </c>
      <c r="C9" s="187" t="s">
        <v>297</v>
      </c>
      <c r="D9" s="174"/>
      <c r="E9" s="172"/>
      <c r="F9" s="172"/>
      <c r="G9" s="172"/>
      <c r="H9" s="172"/>
      <c r="I9" s="276" t="s">
        <v>241</v>
      </c>
      <c r="J9" s="267"/>
      <c r="K9" s="267"/>
      <c r="L9" s="267"/>
      <c r="M9" s="267"/>
      <c r="N9" s="267"/>
      <c r="O9" s="267"/>
      <c r="P9" s="268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5"/>
      <c r="AF9" s="174"/>
      <c r="AG9" s="172"/>
      <c r="AH9" s="172"/>
      <c r="AI9" s="172"/>
      <c r="AJ9" s="172"/>
      <c r="AK9" s="276" t="s">
        <v>281</v>
      </c>
      <c r="AL9" s="267"/>
      <c r="AM9" s="267"/>
      <c r="AN9" s="267"/>
      <c r="AO9" s="267"/>
      <c r="AP9" s="267"/>
      <c r="AQ9" s="267"/>
      <c r="AR9" s="268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5"/>
      <c r="BH9" s="174"/>
      <c r="BI9" s="172"/>
      <c r="BJ9" s="172"/>
      <c r="BK9" s="172"/>
      <c r="BL9" s="172"/>
      <c r="BM9" s="276" t="s">
        <v>464</v>
      </c>
      <c r="BN9" s="267"/>
      <c r="BO9" s="267"/>
      <c r="BP9" s="267"/>
      <c r="BQ9" s="267"/>
      <c r="BR9" s="267"/>
      <c r="BS9" s="267"/>
      <c r="BT9" s="268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5"/>
    </row>
    <row r="10" spans="2:89" ht="16.5" customHeight="1" x14ac:dyDescent="0.2">
      <c r="B10" s="181" t="s">
        <v>298</v>
      </c>
      <c r="C10" s="187" t="s">
        <v>295</v>
      </c>
      <c r="D10" s="174"/>
      <c r="E10" s="172"/>
      <c r="F10" s="172"/>
      <c r="G10" s="276" t="s">
        <v>241</v>
      </c>
      <c r="H10" s="267"/>
      <c r="I10" s="267"/>
      <c r="J10" s="267"/>
      <c r="K10" s="267"/>
      <c r="L10" s="267"/>
      <c r="M10" s="267"/>
      <c r="N10" s="267"/>
      <c r="O10" s="267"/>
      <c r="P10" s="268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5"/>
      <c r="AF10" s="174"/>
      <c r="AG10" s="172"/>
      <c r="AH10" s="172"/>
      <c r="AI10" s="276" t="s">
        <v>281</v>
      </c>
      <c r="AJ10" s="267"/>
      <c r="AK10" s="267"/>
      <c r="AL10" s="267"/>
      <c r="AM10" s="267"/>
      <c r="AN10" s="267"/>
      <c r="AO10" s="267"/>
      <c r="AP10" s="267"/>
      <c r="AQ10" s="267"/>
      <c r="AR10" s="268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5"/>
      <c r="BH10" s="174"/>
      <c r="BI10" s="172"/>
      <c r="BJ10" s="172"/>
      <c r="BK10" s="276" t="s">
        <v>464</v>
      </c>
      <c r="BL10" s="267"/>
      <c r="BM10" s="267"/>
      <c r="BN10" s="267"/>
      <c r="BO10" s="267"/>
      <c r="BP10" s="267"/>
      <c r="BQ10" s="267"/>
      <c r="BR10" s="267"/>
      <c r="BS10" s="267"/>
      <c r="BT10" s="268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5"/>
    </row>
    <row r="11" spans="2:89" x14ac:dyDescent="0.2">
      <c r="B11" s="181" t="s">
        <v>299</v>
      </c>
      <c r="C11" s="187" t="s">
        <v>290</v>
      </c>
      <c r="D11" s="174"/>
      <c r="E11" s="172"/>
      <c r="F11" s="172"/>
      <c r="G11" s="172"/>
      <c r="H11" s="172"/>
      <c r="I11" s="172"/>
      <c r="J11" s="172"/>
      <c r="K11" s="172"/>
      <c r="L11" s="276" t="s">
        <v>241</v>
      </c>
      <c r="M11" s="267"/>
      <c r="N11" s="267"/>
      <c r="O11" s="267"/>
      <c r="P11" s="268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5"/>
      <c r="AF11" s="174"/>
      <c r="AG11" s="172"/>
      <c r="AH11" s="172"/>
      <c r="AI11" s="172"/>
      <c r="AJ11" s="172"/>
      <c r="AK11" s="172"/>
      <c r="AL11" s="172"/>
      <c r="AM11" s="172"/>
      <c r="AN11" s="276" t="s">
        <v>281</v>
      </c>
      <c r="AO11" s="267"/>
      <c r="AP11" s="267"/>
      <c r="AQ11" s="267"/>
      <c r="AR11" s="268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5"/>
      <c r="BH11" s="174"/>
      <c r="BI11" s="172"/>
      <c r="BJ11" s="172"/>
      <c r="BK11" s="172"/>
      <c r="BL11" s="172"/>
      <c r="BM11" s="172"/>
      <c r="BN11" s="172"/>
      <c r="BO11" s="172"/>
      <c r="BP11" s="276" t="s">
        <v>464</v>
      </c>
      <c r="BQ11" s="267"/>
      <c r="BR11" s="267"/>
      <c r="BS11" s="267"/>
      <c r="BT11" s="268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5"/>
    </row>
    <row r="12" spans="2:89" ht="16.5" customHeight="1" x14ac:dyDescent="0.2">
      <c r="B12" s="181" t="s">
        <v>300</v>
      </c>
      <c r="C12" s="187" t="s">
        <v>467</v>
      </c>
      <c r="D12" s="266" t="s">
        <v>241</v>
      </c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80"/>
      <c r="AF12" s="266" t="s">
        <v>281</v>
      </c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80"/>
      <c r="BH12" s="266" t="s">
        <v>464</v>
      </c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80"/>
    </row>
    <row r="13" spans="2:89" ht="16.5" customHeight="1" x14ac:dyDescent="0.2">
      <c r="B13" s="181" t="s">
        <v>302</v>
      </c>
      <c r="C13" s="187" t="s">
        <v>467</v>
      </c>
      <c r="D13" s="266" t="s">
        <v>241</v>
      </c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80"/>
      <c r="AF13" s="266" t="s">
        <v>281</v>
      </c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80"/>
      <c r="BH13" s="266" t="s">
        <v>464</v>
      </c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80"/>
    </row>
    <row r="14" spans="2:89" ht="16.5" customHeight="1" x14ac:dyDescent="0.2">
      <c r="B14" s="181" t="s">
        <v>303</v>
      </c>
      <c r="C14" s="187" t="s">
        <v>304</v>
      </c>
      <c r="D14" s="174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276" t="s">
        <v>241</v>
      </c>
      <c r="P14" s="267"/>
      <c r="Q14" s="267"/>
      <c r="R14" s="268"/>
      <c r="AA14" s="172"/>
      <c r="AB14" s="172"/>
      <c r="AC14" s="172"/>
      <c r="AD14" s="172"/>
      <c r="AE14" s="175"/>
      <c r="AF14" s="174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276" t="s">
        <v>281</v>
      </c>
      <c r="AR14" s="267"/>
      <c r="AS14" s="267"/>
      <c r="AT14" s="268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5"/>
      <c r="BH14" s="174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276" t="s">
        <v>464</v>
      </c>
      <c r="BT14" s="267"/>
      <c r="BU14" s="267"/>
      <c r="BV14" s="268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5"/>
    </row>
    <row r="15" spans="2:89" ht="16.5" customHeight="1" x14ac:dyDescent="0.2">
      <c r="B15" s="181" t="s">
        <v>305</v>
      </c>
      <c r="C15" s="187" t="s">
        <v>304</v>
      </c>
      <c r="D15" s="174"/>
      <c r="E15" s="172"/>
      <c r="F15" s="172"/>
      <c r="G15" s="172"/>
      <c r="H15" s="172"/>
      <c r="I15" s="172"/>
      <c r="J15" s="172"/>
      <c r="K15" s="276" t="s">
        <v>241</v>
      </c>
      <c r="L15" s="267"/>
      <c r="M15" s="267"/>
      <c r="N15" s="268"/>
      <c r="O15" s="172"/>
      <c r="P15" s="172"/>
      <c r="Q15" s="172"/>
      <c r="R15" s="172"/>
      <c r="AA15" s="172"/>
      <c r="AB15" s="172"/>
      <c r="AC15" s="172"/>
      <c r="AD15" s="172"/>
      <c r="AE15" s="175"/>
      <c r="AF15" s="174"/>
      <c r="AG15" s="172"/>
      <c r="AH15" s="172"/>
      <c r="AI15" s="172"/>
      <c r="AJ15" s="172"/>
      <c r="AK15" s="172"/>
      <c r="AL15" s="172"/>
      <c r="AM15" s="276" t="s">
        <v>281</v>
      </c>
      <c r="AN15" s="267"/>
      <c r="AO15" s="267"/>
      <c r="AP15" s="268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5"/>
      <c r="BH15" s="174"/>
      <c r="BI15" s="172"/>
      <c r="BJ15" s="172"/>
      <c r="BK15" s="172"/>
      <c r="BL15" s="172"/>
      <c r="BM15" s="172"/>
      <c r="BN15" s="172"/>
      <c r="BO15" s="276" t="s">
        <v>464</v>
      </c>
      <c r="BP15" s="267"/>
      <c r="BQ15" s="267"/>
      <c r="BR15" s="268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5"/>
    </row>
    <row r="16" spans="2:89" x14ac:dyDescent="0.2">
      <c r="B16" s="181" t="s">
        <v>306</v>
      </c>
      <c r="C16" s="187" t="s">
        <v>307</v>
      </c>
      <c r="D16" s="174"/>
      <c r="E16" s="172"/>
      <c r="F16" s="172"/>
      <c r="G16" s="172"/>
      <c r="H16" s="172"/>
      <c r="I16" s="172"/>
      <c r="J16" s="172"/>
      <c r="K16" s="172"/>
      <c r="L16" s="172"/>
      <c r="M16" s="277"/>
      <c r="N16" s="278"/>
      <c r="O16" s="172"/>
      <c r="P16" s="172"/>
      <c r="Q16" s="172"/>
      <c r="R16" s="172"/>
      <c r="AA16" s="172"/>
      <c r="AB16" s="172"/>
      <c r="AC16" s="172"/>
      <c r="AD16" s="172"/>
      <c r="AE16" s="175"/>
      <c r="AF16" s="174"/>
      <c r="AG16" s="172"/>
      <c r="AH16" s="172"/>
      <c r="AI16" s="172"/>
      <c r="AJ16" s="172"/>
      <c r="AK16" s="172"/>
      <c r="AL16" s="172"/>
      <c r="AM16" s="172"/>
      <c r="AN16" s="172"/>
      <c r="AO16" s="277"/>
      <c r="AP16" s="278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5"/>
      <c r="BH16" s="174"/>
      <c r="BI16" s="172"/>
      <c r="BJ16" s="172"/>
      <c r="BK16" s="172"/>
      <c r="BL16" s="172"/>
      <c r="BM16" s="172"/>
      <c r="BN16" s="172"/>
      <c r="BO16" s="172"/>
      <c r="BP16" s="172"/>
      <c r="BQ16" s="277"/>
      <c r="BR16" s="278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5"/>
    </row>
    <row r="17" spans="2:87" x14ac:dyDescent="0.2">
      <c r="B17" s="181" t="s">
        <v>308</v>
      </c>
      <c r="C17" s="187" t="s">
        <v>309</v>
      </c>
      <c r="D17" s="174"/>
      <c r="E17" s="172"/>
      <c r="F17" s="172"/>
      <c r="G17" s="172"/>
      <c r="H17" s="172"/>
      <c r="I17" s="172"/>
      <c r="J17" s="172"/>
      <c r="K17" s="172"/>
      <c r="L17" s="172"/>
      <c r="M17" s="172"/>
      <c r="N17" s="195"/>
      <c r="O17" s="172"/>
      <c r="P17" s="172"/>
      <c r="Q17" s="172"/>
      <c r="R17" s="172"/>
      <c r="AA17" s="172"/>
      <c r="AB17" s="172"/>
      <c r="AC17" s="172"/>
      <c r="AD17" s="172"/>
      <c r="AE17" s="175"/>
      <c r="AF17" s="174"/>
      <c r="AG17" s="172"/>
      <c r="AH17" s="172"/>
      <c r="AI17" s="172"/>
      <c r="AJ17" s="172"/>
      <c r="AK17" s="172"/>
      <c r="AL17" s="172"/>
      <c r="AM17" s="172"/>
      <c r="AN17" s="172"/>
      <c r="AO17" s="172"/>
      <c r="AP17" s="195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5"/>
      <c r="BH17" s="174"/>
      <c r="BI17" s="172"/>
      <c r="BJ17" s="172"/>
      <c r="BK17" s="172"/>
      <c r="BL17" s="172"/>
      <c r="BM17" s="172"/>
      <c r="BN17" s="172"/>
      <c r="BO17" s="172"/>
      <c r="BP17" s="172"/>
      <c r="BQ17" s="172"/>
      <c r="BR17" s="195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5"/>
    </row>
    <row r="18" spans="2:87" ht="16.5" customHeight="1" x14ac:dyDescent="0.2">
      <c r="B18" s="181" t="s">
        <v>310</v>
      </c>
      <c r="C18" s="187" t="s">
        <v>311</v>
      </c>
      <c r="D18" s="174"/>
      <c r="E18" s="172"/>
      <c r="F18" s="172"/>
      <c r="G18" s="172"/>
      <c r="H18" s="172"/>
      <c r="I18" s="172"/>
      <c r="J18" s="172"/>
      <c r="K18" s="172"/>
      <c r="L18" s="172"/>
      <c r="M18" s="172"/>
      <c r="N18" s="277" t="s">
        <v>241</v>
      </c>
      <c r="O18" s="279"/>
      <c r="P18" s="278"/>
      <c r="Q18" s="172"/>
      <c r="R18" s="172"/>
      <c r="AA18" s="172"/>
      <c r="AB18" s="172"/>
      <c r="AC18" s="172"/>
      <c r="AD18" s="172"/>
      <c r="AE18" s="175"/>
      <c r="AF18" s="174"/>
      <c r="AG18" s="172"/>
      <c r="AH18" s="172"/>
      <c r="AI18" s="172"/>
      <c r="AJ18" s="172"/>
      <c r="AK18" s="172"/>
      <c r="AL18" s="172"/>
      <c r="AM18" s="172"/>
      <c r="AN18" s="172"/>
      <c r="AO18" s="172"/>
      <c r="AP18" s="277" t="s">
        <v>281</v>
      </c>
      <c r="AQ18" s="279"/>
      <c r="AR18" s="278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5"/>
      <c r="BH18" s="174"/>
      <c r="BI18" s="172"/>
      <c r="BJ18" s="172"/>
      <c r="BK18" s="172"/>
      <c r="BL18" s="172"/>
      <c r="BM18" s="172"/>
      <c r="BN18" s="172"/>
      <c r="BO18" s="172"/>
      <c r="BP18" s="172"/>
      <c r="BQ18" s="172"/>
      <c r="BR18" s="277" t="s">
        <v>464</v>
      </c>
      <c r="BS18" s="279"/>
      <c r="BT18" s="278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5"/>
    </row>
    <row r="19" spans="2:87" ht="16.5" customHeight="1" x14ac:dyDescent="0.2">
      <c r="B19" s="181" t="s">
        <v>312</v>
      </c>
      <c r="C19" s="187" t="s">
        <v>290</v>
      </c>
      <c r="D19" s="174"/>
      <c r="E19" s="172"/>
      <c r="F19" s="172"/>
      <c r="G19" s="172"/>
      <c r="H19" s="172"/>
      <c r="I19" s="276" t="s">
        <v>241</v>
      </c>
      <c r="J19" s="267"/>
      <c r="K19" s="267"/>
      <c r="L19" s="267"/>
      <c r="M19" s="268"/>
      <c r="N19" s="172"/>
      <c r="O19" s="172"/>
      <c r="P19" s="172"/>
      <c r="Q19" s="172"/>
      <c r="R19" s="172"/>
      <c r="AA19" s="172"/>
      <c r="AB19" s="172"/>
      <c r="AC19" s="172"/>
      <c r="AD19" s="172"/>
      <c r="AE19" s="175"/>
      <c r="AF19" s="174"/>
      <c r="AG19" s="172"/>
      <c r="AH19" s="172"/>
      <c r="AI19" s="172"/>
      <c r="AJ19" s="172"/>
      <c r="AK19" s="276" t="s">
        <v>281</v>
      </c>
      <c r="AL19" s="267"/>
      <c r="AM19" s="267"/>
      <c r="AN19" s="267"/>
      <c r="AO19" s="268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5"/>
      <c r="BH19" s="174"/>
      <c r="BI19" s="172"/>
      <c r="BJ19" s="172"/>
      <c r="BK19" s="172"/>
      <c r="BL19" s="172"/>
      <c r="BM19" s="276" t="s">
        <v>464</v>
      </c>
      <c r="BN19" s="267"/>
      <c r="BO19" s="267"/>
      <c r="BP19" s="267"/>
      <c r="BQ19" s="268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5"/>
    </row>
    <row r="20" spans="2:87" x14ac:dyDescent="0.2">
      <c r="B20" s="180" t="s">
        <v>313</v>
      </c>
      <c r="C20" s="186" t="s">
        <v>314</v>
      </c>
      <c r="D20" s="191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3"/>
      <c r="AF20" s="191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3"/>
      <c r="BH20" s="191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3"/>
    </row>
    <row r="21" spans="2:87" x14ac:dyDescent="0.2">
      <c r="B21" s="181" t="s">
        <v>315</v>
      </c>
      <c r="C21" s="187" t="s">
        <v>307</v>
      </c>
      <c r="D21" s="174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283"/>
      <c r="Q21" s="283"/>
      <c r="V21" s="172"/>
      <c r="W21" s="172"/>
      <c r="X21" s="172"/>
      <c r="Y21" s="172"/>
      <c r="Z21" s="172"/>
      <c r="AA21" s="172"/>
      <c r="AB21" s="172"/>
      <c r="AC21" s="172"/>
      <c r="AD21" s="172"/>
      <c r="AE21" s="175"/>
      <c r="AF21" s="174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283"/>
      <c r="AS21" s="283"/>
      <c r="AX21" s="172"/>
      <c r="AY21" s="172"/>
      <c r="AZ21" s="172"/>
      <c r="BA21" s="172"/>
      <c r="BB21" s="172"/>
      <c r="BC21" s="172"/>
      <c r="BD21" s="172"/>
      <c r="BE21" s="172"/>
      <c r="BF21" s="172"/>
      <c r="BG21" s="175"/>
      <c r="BH21" s="174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283"/>
      <c r="BU21" s="283"/>
      <c r="BZ21" s="172"/>
      <c r="CA21" s="172"/>
      <c r="CB21" s="172"/>
      <c r="CC21" s="172"/>
      <c r="CD21" s="172"/>
      <c r="CE21" s="172"/>
      <c r="CF21" s="172"/>
      <c r="CG21" s="172"/>
      <c r="CH21" s="172"/>
      <c r="CI21" s="175"/>
    </row>
    <row r="22" spans="2:87" x14ac:dyDescent="0.2">
      <c r="B22" s="181" t="s">
        <v>316</v>
      </c>
      <c r="C22" s="187" t="s">
        <v>290</v>
      </c>
      <c r="D22" s="174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281" t="s">
        <v>465</v>
      </c>
      <c r="R22" s="281"/>
      <c r="S22" s="281"/>
      <c r="T22" s="281"/>
      <c r="U22" s="282"/>
      <c r="V22" s="172"/>
      <c r="W22" s="172"/>
      <c r="X22" s="172"/>
      <c r="Y22" s="172"/>
      <c r="Z22" s="172"/>
      <c r="AA22" s="172"/>
      <c r="AB22" s="172"/>
      <c r="AC22" s="172"/>
      <c r="AD22" s="172"/>
      <c r="AE22" s="175"/>
      <c r="AF22" s="174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281"/>
      <c r="AT22" s="281"/>
      <c r="AU22" s="281"/>
      <c r="AV22" s="281"/>
      <c r="AW22" s="28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5"/>
      <c r="BH22" s="174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281"/>
      <c r="BV22" s="281"/>
      <c r="BW22" s="281"/>
      <c r="BX22" s="281"/>
      <c r="BY22" s="28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5"/>
    </row>
    <row r="23" spans="2:87" x14ac:dyDescent="0.2">
      <c r="B23" s="181" t="s">
        <v>317</v>
      </c>
      <c r="C23" s="187" t="s">
        <v>290</v>
      </c>
      <c r="D23" s="174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281" t="s">
        <v>465</v>
      </c>
      <c r="R23" s="281"/>
      <c r="S23" s="281"/>
      <c r="T23" s="281"/>
      <c r="U23" s="282"/>
      <c r="V23" s="172"/>
      <c r="W23" s="172"/>
      <c r="X23" s="172"/>
      <c r="Y23" s="172"/>
      <c r="Z23" s="172"/>
      <c r="AA23" s="172"/>
      <c r="AB23" s="172"/>
      <c r="AC23" s="172"/>
      <c r="AD23" s="172"/>
      <c r="AE23" s="175"/>
      <c r="AF23" s="174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281"/>
      <c r="AT23" s="281"/>
      <c r="AU23" s="281"/>
      <c r="AV23" s="281"/>
      <c r="AW23" s="28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5"/>
      <c r="BH23" s="174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281"/>
      <c r="BV23" s="281"/>
      <c r="BW23" s="281"/>
      <c r="BX23" s="281"/>
      <c r="BY23" s="28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5"/>
    </row>
    <row r="24" spans="2:87" x14ac:dyDescent="0.2">
      <c r="B24" s="181" t="s">
        <v>318</v>
      </c>
      <c r="C24" s="187" t="s">
        <v>297</v>
      </c>
      <c r="D24" s="174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281" t="s">
        <v>465</v>
      </c>
      <c r="U24" s="281"/>
      <c r="V24" s="281"/>
      <c r="W24" s="281"/>
      <c r="X24" s="281"/>
      <c r="Y24" s="281"/>
      <c r="Z24" s="281"/>
      <c r="AA24" s="282"/>
      <c r="AB24" s="172"/>
      <c r="AC24" s="172"/>
      <c r="AD24" s="172"/>
      <c r="AE24" s="175"/>
      <c r="AF24" s="174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281"/>
      <c r="AW24" s="281"/>
      <c r="AX24" s="281"/>
      <c r="AY24" s="281"/>
      <c r="AZ24" s="281"/>
      <c r="BA24" s="281"/>
      <c r="BB24" s="281"/>
      <c r="BC24" s="282"/>
      <c r="BD24" s="172"/>
      <c r="BE24" s="172"/>
      <c r="BF24" s="172"/>
      <c r="BG24" s="175"/>
      <c r="BH24" s="174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281"/>
      <c r="BY24" s="281"/>
      <c r="BZ24" s="281"/>
      <c r="CA24" s="281"/>
      <c r="CB24" s="281"/>
      <c r="CC24" s="281"/>
      <c r="CD24" s="281"/>
      <c r="CE24" s="282"/>
      <c r="CF24" s="172"/>
      <c r="CG24" s="172"/>
      <c r="CH24" s="172"/>
      <c r="CI24" s="175"/>
    </row>
    <row r="25" spans="2:87" x14ac:dyDescent="0.2">
      <c r="B25" s="181" t="s">
        <v>319</v>
      </c>
      <c r="C25" s="187" t="s">
        <v>290</v>
      </c>
      <c r="D25" s="174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276" t="s">
        <v>466</v>
      </c>
      <c r="X25" s="267"/>
      <c r="Y25" s="267"/>
      <c r="Z25" s="267"/>
      <c r="AA25" s="268"/>
      <c r="AB25" s="172"/>
      <c r="AC25" s="172"/>
      <c r="AD25" s="172"/>
      <c r="AE25" s="175"/>
      <c r="AF25" s="174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276"/>
      <c r="AZ25" s="267"/>
      <c r="BA25" s="267"/>
      <c r="BB25" s="267"/>
      <c r="BC25" s="268"/>
      <c r="BD25" s="172"/>
      <c r="BE25" s="172"/>
      <c r="BF25" s="172"/>
      <c r="BG25" s="175"/>
      <c r="BH25" s="174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276"/>
      <c r="CB25" s="267"/>
      <c r="CC25" s="267"/>
      <c r="CD25" s="267"/>
      <c r="CE25" s="268"/>
      <c r="CF25" s="172"/>
      <c r="CG25" s="172"/>
      <c r="CH25" s="172"/>
      <c r="CI25" s="175"/>
    </row>
    <row r="26" spans="2:87" x14ac:dyDescent="0.2">
      <c r="B26" s="181" t="s">
        <v>320</v>
      </c>
      <c r="C26" s="187" t="s">
        <v>297</v>
      </c>
      <c r="D26" s="174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281"/>
      <c r="U26" s="281"/>
      <c r="V26" s="281"/>
      <c r="W26" s="281"/>
      <c r="X26" s="281"/>
      <c r="Y26" s="281"/>
      <c r="Z26" s="281"/>
      <c r="AA26" s="282"/>
      <c r="AB26" s="172"/>
      <c r="AC26" s="172"/>
      <c r="AD26" s="172"/>
      <c r="AE26" s="175"/>
      <c r="AF26" s="174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281"/>
      <c r="AW26" s="281"/>
      <c r="AX26" s="281"/>
      <c r="AY26" s="281"/>
      <c r="AZ26" s="281"/>
      <c r="BA26" s="281"/>
      <c r="BB26" s="281"/>
      <c r="BC26" s="282"/>
      <c r="BD26" s="172"/>
      <c r="BE26" s="172"/>
      <c r="BF26" s="172"/>
      <c r="BG26" s="175"/>
      <c r="BH26" s="174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281"/>
      <c r="BY26" s="281"/>
      <c r="BZ26" s="281"/>
      <c r="CA26" s="281"/>
      <c r="CB26" s="281"/>
      <c r="CC26" s="281"/>
      <c r="CD26" s="281"/>
      <c r="CE26" s="282"/>
      <c r="CF26" s="172"/>
      <c r="CG26" s="172"/>
      <c r="CH26" s="172"/>
      <c r="CI26" s="175"/>
    </row>
    <row r="27" spans="2:87" x14ac:dyDescent="0.2">
      <c r="B27" s="180" t="s">
        <v>59</v>
      </c>
      <c r="C27" s="186" t="s">
        <v>321</v>
      </c>
      <c r="D27" s="191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3"/>
      <c r="AF27" s="191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3"/>
      <c r="BH27" s="191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3"/>
    </row>
    <row r="28" spans="2:87" x14ac:dyDescent="0.2">
      <c r="B28" s="181" t="s">
        <v>322</v>
      </c>
      <c r="C28" s="187" t="s">
        <v>290</v>
      </c>
      <c r="D28" s="174"/>
      <c r="E28" s="172"/>
      <c r="F28" s="172"/>
      <c r="G28" s="172"/>
      <c r="H28" s="172"/>
      <c r="I28" s="172"/>
      <c r="J28" s="172"/>
      <c r="K28" s="172"/>
      <c r="L28" s="276"/>
      <c r="M28" s="267"/>
      <c r="N28" s="267"/>
      <c r="O28" s="267"/>
      <c r="P28" s="268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5"/>
      <c r="AF28" s="174"/>
      <c r="AG28" s="172"/>
      <c r="AH28" s="172"/>
      <c r="AI28" s="172"/>
      <c r="AJ28" s="172"/>
      <c r="AK28" s="172"/>
      <c r="AL28" s="172"/>
      <c r="AM28" s="172"/>
      <c r="AN28" s="276"/>
      <c r="AO28" s="267"/>
      <c r="AP28" s="267"/>
      <c r="AQ28" s="267"/>
      <c r="AR28" s="268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5"/>
      <c r="BH28" s="174"/>
      <c r="BI28" s="172"/>
      <c r="BJ28" s="172"/>
      <c r="BK28" s="172"/>
      <c r="BL28" s="172"/>
      <c r="BM28" s="172"/>
      <c r="BN28" s="172"/>
      <c r="BO28" s="172"/>
      <c r="BP28" s="276"/>
      <c r="BQ28" s="267"/>
      <c r="BR28" s="267"/>
      <c r="BS28" s="267"/>
      <c r="BT28" s="268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5"/>
    </row>
    <row r="29" spans="2:87" x14ac:dyDescent="0.2">
      <c r="B29" s="181" t="s">
        <v>322</v>
      </c>
      <c r="C29" s="187" t="s">
        <v>290</v>
      </c>
      <c r="D29" s="174"/>
      <c r="E29" s="172"/>
      <c r="F29" s="172"/>
      <c r="G29" s="172"/>
      <c r="H29" s="172"/>
      <c r="I29" s="172"/>
      <c r="J29" s="172"/>
      <c r="K29" s="172"/>
      <c r="L29" s="276"/>
      <c r="M29" s="267"/>
      <c r="N29" s="267"/>
      <c r="O29" s="267"/>
      <c r="P29" s="268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5"/>
      <c r="AF29" s="174"/>
      <c r="AG29" s="172"/>
      <c r="AH29" s="172"/>
      <c r="AI29" s="172"/>
      <c r="AJ29" s="172"/>
      <c r="AK29" s="172"/>
      <c r="AL29" s="172"/>
      <c r="AM29" s="172"/>
      <c r="AN29" s="276"/>
      <c r="AO29" s="267"/>
      <c r="AP29" s="267"/>
      <c r="AQ29" s="267"/>
      <c r="AR29" s="268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5"/>
      <c r="BH29" s="174"/>
      <c r="BI29" s="172"/>
      <c r="BJ29" s="172"/>
      <c r="BK29" s="172"/>
      <c r="BL29" s="172"/>
      <c r="BM29" s="172"/>
      <c r="BN29" s="172"/>
      <c r="BO29" s="172"/>
      <c r="BP29" s="276"/>
      <c r="BQ29" s="267"/>
      <c r="BR29" s="267"/>
      <c r="BS29" s="267"/>
      <c r="BT29" s="268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5"/>
    </row>
    <row r="30" spans="2:87" x14ac:dyDescent="0.2">
      <c r="B30" s="180" t="s">
        <v>323</v>
      </c>
      <c r="C30" s="186" t="s">
        <v>324</v>
      </c>
      <c r="D30" s="191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3"/>
      <c r="AF30" s="191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3"/>
      <c r="BH30" s="191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3"/>
    </row>
    <row r="31" spans="2:87" x14ac:dyDescent="0.2">
      <c r="B31" s="181" t="s">
        <v>325</v>
      </c>
      <c r="C31" s="187" t="s">
        <v>295</v>
      </c>
      <c r="D31" s="174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276"/>
      <c r="R31" s="267"/>
      <c r="S31" s="267"/>
      <c r="T31" s="267"/>
      <c r="U31" s="267"/>
      <c r="V31" s="267"/>
      <c r="W31" s="267"/>
      <c r="X31" s="267"/>
      <c r="Y31" s="267"/>
      <c r="Z31" s="268"/>
      <c r="AA31" s="172"/>
      <c r="AB31" s="172"/>
      <c r="AC31" s="172"/>
      <c r="AD31" s="172"/>
      <c r="AE31" s="175"/>
      <c r="AF31" s="174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276"/>
      <c r="AT31" s="267"/>
      <c r="AU31" s="267"/>
      <c r="AV31" s="267"/>
      <c r="AW31" s="267"/>
      <c r="AX31" s="267"/>
      <c r="AY31" s="267"/>
      <c r="AZ31" s="267"/>
      <c r="BA31" s="267"/>
      <c r="BB31" s="268"/>
      <c r="BC31" s="172"/>
      <c r="BD31" s="172"/>
      <c r="BE31" s="172"/>
      <c r="BF31" s="172"/>
      <c r="BG31" s="175"/>
      <c r="BH31" s="174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276"/>
      <c r="BV31" s="267"/>
      <c r="BW31" s="267"/>
      <c r="BX31" s="267"/>
      <c r="BY31" s="267"/>
      <c r="BZ31" s="267"/>
      <c r="CA31" s="267"/>
      <c r="CB31" s="267"/>
      <c r="CC31" s="267"/>
      <c r="CD31" s="268"/>
      <c r="CE31" s="172"/>
      <c r="CF31" s="172"/>
      <c r="CG31" s="172"/>
      <c r="CH31" s="172"/>
      <c r="CI31" s="175"/>
    </row>
    <row r="32" spans="2:87" x14ac:dyDescent="0.2">
      <c r="B32" s="181" t="s">
        <v>326</v>
      </c>
      <c r="C32" s="187" t="s">
        <v>295</v>
      </c>
      <c r="D32" s="174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276"/>
      <c r="R32" s="267"/>
      <c r="S32" s="267"/>
      <c r="T32" s="267"/>
      <c r="U32" s="267"/>
      <c r="V32" s="267"/>
      <c r="W32" s="267"/>
      <c r="X32" s="267"/>
      <c r="Y32" s="267"/>
      <c r="Z32" s="268"/>
      <c r="AA32" s="172"/>
      <c r="AB32" s="172"/>
      <c r="AC32" s="172"/>
      <c r="AD32" s="172"/>
      <c r="AE32" s="175"/>
      <c r="AF32" s="174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276"/>
      <c r="AT32" s="267"/>
      <c r="AU32" s="267"/>
      <c r="AV32" s="267"/>
      <c r="AW32" s="267"/>
      <c r="AX32" s="267"/>
      <c r="AY32" s="267"/>
      <c r="AZ32" s="267"/>
      <c r="BA32" s="267"/>
      <c r="BB32" s="268"/>
      <c r="BC32" s="172"/>
      <c r="BD32" s="172"/>
      <c r="BE32" s="172"/>
      <c r="BF32" s="172"/>
      <c r="BG32" s="175"/>
      <c r="BH32" s="174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276"/>
      <c r="BV32" s="267"/>
      <c r="BW32" s="267"/>
      <c r="BX32" s="267"/>
      <c r="BY32" s="267"/>
      <c r="BZ32" s="267"/>
      <c r="CA32" s="267"/>
      <c r="CB32" s="267"/>
      <c r="CC32" s="267"/>
      <c r="CD32" s="268"/>
      <c r="CE32" s="172"/>
      <c r="CF32" s="172"/>
      <c r="CG32" s="172"/>
      <c r="CH32" s="172"/>
      <c r="CI32" s="175"/>
    </row>
    <row r="33" spans="2:87" x14ac:dyDescent="0.2">
      <c r="B33" s="181" t="s">
        <v>327</v>
      </c>
      <c r="C33" s="187" t="s">
        <v>295</v>
      </c>
      <c r="D33" s="174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276"/>
      <c r="W33" s="267"/>
      <c r="X33" s="267"/>
      <c r="Y33" s="267"/>
      <c r="Z33" s="267"/>
      <c r="AA33" s="267"/>
      <c r="AB33" s="267"/>
      <c r="AC33" s="267"/>
      <c r="AD33" s="267"/>
      <c r="AE33" s="280"/>
      <c r="AF33" s="174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276"/>
      <c r="AY33" s="267"/>
      <c r="AZ33" s="267"/>
      <c r="BA33" s="267"/>
      <c r="BB33" s="267"/>
      <c r="BC33" s="267"/>
      <c r="BD33" s="267"/>
      <c r="BE33" s="267"/>
      <c r="BF33" s="267"/>
      <c r="BG33" s="280"/>
      <c r="BH33" s="174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276"/>
      <c r="CA33" s="267"/>
      <c r="CB33" s="267"/>
      <c r="CC33" s="267"/>
      <c r="CD33" s="267"/>
      <c r="CE33" s="267"/>
      <c r="CF33" s="267"/>
      <c r="CG33" s="267"/>
      <c r="CH33" s="267"/>
      <c r="CI33" s="280"/>
    </row>
    <row r="34" spans="2:87" x14ac:dyDescent="0.2">
      <c r="B34" s="181" t="s">
        <v>328</v>
      </c>
      <c r="C34" s="187" t="s">
        <v>295</v>
      </c>
      <c r="D34" s="174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276"/>
      <c r="W34" s="267"/>
      <c r="X34" s="267"/>
      <c r="Y34" s="267"/>
      <c r="Z34" s="267"/>
      <c r="AA34" s="267"/>
      <c r="AB34" s="267"/>
      <c r="AC34" s="267"/>
      <c r="AD34" s="267"/>
      <c r="AE34" s="280"/>
      <c r="AF34" s="174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276"/>
      <c r="AY34" s="267"/>
      <c r="AZ34" s="267"/>
      <c r="BA34" s="267"/>
      <c r="BB34" s="267"/>
      <c r="BC34" s="267"/>
      <c r="BD34" s="267"/>
      <c r="BE34" s="267"/>
      <c r="BF34" s="267"/>
      <c r="BG34" s="280"/>
      <c r="BH34" s="174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276"/>
      <c r="CA34" s="267"/>
      <c r="CB34" s="267"/>
      <c r="CC34" s="267"/>
      <c r="CD34" s="267"/>
      <c r="CE34" s="267"/>
      <c r="CF34" s="267"/>
      <c r="CG34" s="267"/>
      <c r="CH34" s="267"/>
      <c r="CI34" s="280"/>
    </row>
    <row r="35" spans="2:87" x14ac:dyDescent="0.2">
      <c r="B35" s="180" t="s">
        <v>69</v>
      </c>
      <c r="C35" s="186" t="s">
        <v>329</v>
      </c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3"/>
      <c r="AF35" s="191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3"/>
      <c r="BH35" s="191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3"/>
    </row>
    <row r="36" spans="2:87" x14ac:dyDescent="0.2">
      <c r="B36" s="181" t="s">
        <v>330</v>
      </c>
      <c r="C36" s="187" t="s">
        <v>311</v>
      </c>
      <c r="D36" s="174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276"/>
      <c r="R36" s="267"/>
      <c r="S36" s="268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5"/>
      <c r="AF36" s="174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276"/>
      <c r="AT36" s="267"/>
      <c r="AU36" s="268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5"/>
      <c r="BH36" s="174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276"/>
      <c r="BV36" s="267"/>
      <c r="BW36" s="268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5"/>
    </row>
    <row r="37" spans="2:87" x14ac:dyDescent="0.2">
      <c r="B37" s="180" t="s">
        <v>116</v>
      </c>
      <c r="C37" s="186" t="s">
        <v>331</v>
      </c>
      <c r="D37" s="19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1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3"/>
      <c r="BH37" s="191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3"/>
    </row>
    <row r="38" spans="2:87" x14ac:dyDescent="0.2">
      <c r="B38" s="181" t="s">
        <v>332</v>
      </c>
      <c r="C38" s="187" t="s">
        <v>297</v>
      </c>
      <c r="D38" s="174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276"/>
      <c r="P38" s="267"/>
      <c r="Q38" s="267"/>
      <c r="R38" s="267"/>
      <c r="S38" s="267"/>
      <c r="T38" s="267"/>
      <c r="U38" s="267"/>
      <c r="V38" s="268"/>
      <c r="W38" s="172"/>
      <c r="X38" s="172"/>
      <c r="Y38" s="172"/>
      <c r="Z38" s="172"/>
      <c r="AA38" s="172"/>
      <c r="AB38" s="172"/>
      <c r="AC38" s="172"/>
      <c r="AD38" s="172"/>
      <c r="AE38" s="175"/>
      <c r="AF38" s="174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276"/>
      <c r="AR38" s="267"/>
      <c r="AS38" s="267"/>
      <c r="AT38" s="267"/>
      <c r="AU38" s="267"/>
      <c r="AV38" s="267"/>
      <c r="AW38" s="267"/>
      <c r="AX38" s="268"/>
      <c r="AY38" s="172"/>
      <c r="AZ38" s="172"/>
      <c r="BA38" s="172"/>
      <c r="BB38" s="172"/>
      <c r="BC38" s="172"/>
      <c r="BD38" s="172"/>
      <c r="BE38" s="172"/>
      <c r="BF38" s="172"/>
      <c r="BG38" s="175"/>
      <c r="BH38" s="174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276"/>
      <c r="BT38" s="267"/>
      <c r="BU38" s="267"/>
      <c r="BV38" s="267"/>
      <c r="BW38" s="267"/>
      <c r="BX38" s="267"/>
      <c r="BY38" s="267"/>
      <c r="BZ38" s="268"/>
      <c r="CA38" s="172"/>
      <c r="CB38" s="172"/>
      <c r="CC38" s="172"/>
      <c r="CD38" s="172"/>
      <c r="CE38" s="172"/>
      <c r="CF38" s="172"/>
      <c r="CG38" s="172"/>
      <c r="CH38" s="172"/>
      <c r="CI38" s="175"/>
    </row>
    <row r="39" spans="2:87" ht="27.75" customHeight="1" x14ac:dyDescent="0.2">
      <c r="B39" s="181" t="s">
        <v>333</v>
      </c>
      <c r="C39" s="187" t="s">
        <v>334</v>
      </c>
      <c r="D39" s="174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95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5"/>
      <c r="AF39" s="174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95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5"/>
      <c r="BH39" s="174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95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5"/>
    </row>
    <row r="40" spans="2:87" ht="24.75" customHeight="1" x14ac:dyDescent="0.2">
      <c r="B40" s="181" t="s">
        <v>335</v>
      </c>
      <c r="C40" s="187" t="s">
        <v>334</v>
      </c>
      <c r="D40" s="174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95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5"/>
      <c r="AF40" s="174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95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5"/>
      <c r="BH40" s="174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95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5"/>
    </row>
    <row r="41" spans="2:87" x14ac:dyDescent="0.2">
      <c r="B41" s="181" t="s">
        <v>336</v>
      </c>
      <c r="C41" s="187" t="s">
        <v>307</v>
      </c>
      <c r="D41" s="174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276"/>
      <c r="P41" s="267"/>
      <c r="Q41" s="268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5"/>
      <c r="AF41" s="174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276"/>
      <c r="AR41" s="267"/>
      <c r="AS41" s="268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5"/>
      <c r="BH41" s="174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276"/>
      <c r="BT41" s="267"/>
      <c r="BU41" s="268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5"/>
    </row>
    <row r="42" spans="2:87" x14ac:dyDescent="0.2">
      <c r="B42" s="180" t="s">
        <v>337</v>
      </c>
      <c r="C42" s="186" t="s">
        <v>293</v>
      </c>
      <c r="D42" s="191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3"/>
      <c r="AF42" s="191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3"/>
      <c r="BH42" s="191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3"/>
    </row>
    <row r="43" spans="2:87" x14ac:dyDescent="0.2">
      <c r="B43" s="181" t="s">
        <v>338</v>
      </c>
      <c r="C43" s="187" t="s">
        <v>290</v>
      </c>
      <c r="D43" s="174"/>
      <c r="E43" s="172"/>
      <c r="F43" s="172"/>
      <c r="G43" s="172"/>
      <c r="H43" s="172"/>
      <c r="I43" s="172"/>
      <c r="J43" s="172"/>
      <c r="K43" s="276"/>
      <c r="L43" s="267"/>
      <c r="M43" s="267"/>
      <c r="N43" s="267"/>
      <c r="O43" s="268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5"/>
      <c r="AF43" s="174"/>
      <c r="AG43" s="172"/>
      <c r="AH43" s="172"/>
      <c r="AI43" s="172"/>
      <c r="AJ43" s="172"/>
      <c r="AK43" s="172"/>
      <c r="AL43" s="172"/>
      <c r="AM43" s="276"/>
      <c r="AN43" s="267"/>
      <c r="AO43" s="267"/>
      <c r="AP43" s="267"/>
      <c r="AQ43" s="268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5"/>
      <c r="BH43" s="174"/>
      <c r="BI43" s="172"/>
      <c r="BJ43" s="172"/>
      <c r="BK43" s="172"/>
      <c r="BL43" s="172"/>
      <c r="BM43" s="172"/>
      <c r="BN43" s="172"/>
      <c r="BO43" s="276"/>
      <c r="BP43" s="267"/>
      <c r="BQ43" s="267"/>
      <c r="BR43" s="267"/>
      <c r="BS43" s="268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5"/>
    </row>
    <row r="44" spans="2:87" x14ac:dyDescent="0.2">
      <c r="B44" s="181" t="s">
        <v>339</v>
      </c>
      <c r="C44" s="187" t="s">
        <v>307</v>
      </c>
      <c r="D44" s="174"/>
      <c r="E44" s="172"/>
      <c r="F44" s="172"/>
      <c r="G44" s="172"/>
      <c r="H44" s="172"/>
      <c r="I44" s="172"/>
      <c r="J44" s="172"/>
      <c r="K44" s="276"/>
      <c r="L44" s="267"/>
      <c r="M44" s="268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5"/>
      <c r="AF44" s="174"/>
      <c r="AG44" s="172"/>
      <c r="AH44" s="172"/>
      <c r="AI44" s="172"/>
      <c r="AJ44" s="172"/>
      <c r="AK44" s="172"/>
      <c r="AL44" s="172"/>
      <c r="AM44" s="276"/>
      <c r="AN44" s="267"/>
      <c r="AO44" s="268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5"/>
      <c r="BH44" s="174"/>
      <c r="BI44" s="172"/>
      <c r="BJ44" s="172"/>
      <c r="BK44" s="172"/>
      <c r="BL44" s="172"/>
      <c r="BM44" s="172"/>
      <c r="BN44" s="172"/>
      <c r="BO44" s="276"/>
      <c r="BP44" s="267"/>
      <c r="BQ44" s="268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5"/>
    </row>
    <row r="45" spans="2:87" x14ac:dyDescent="0.2">
      <c r="B45" s="181" t="s">
        <v>340</v>
      </c>
      <c r="C45" s="187" t="s">
        <v>307</v>
      </c>
      <c r="D45" s="174"/>
      <c r="E45" s="172"/>
      <c r="F45" s="172"/>
      <c r="G45" s="172"/>
      <c r="H45" s="172"/>
      <c r="I45" s="172"/>
      <c r="J45" s="172"/>
      <c r="K45" s="276"/>
      <c r="L45" s="267"/>
      <c r="M45" s="268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5"/>
      <c r="AF45" s="174"/>
      <c r="AG45" s="172"/>
      <c r="AH45" s="172"/>
      <c r="AI45" s="172"/>
      <c r="AJ45" s="172"/>
      <c r="AK45" s="172"/>
      <c r="AL45" s="172"/>
      <c r="AM45" s="276"/>
      <c r="AN45" s="267"/>
      <c r="AO45" s="268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5"/>
      <c r="BH45" s="174"/>
      <c r="BI45" s="172"/>
      <c r="BJ45" s="172"/>
      <c r="BK45" s="172"/>
      <c r="BL45" s="172"/>
      <c r="BM45" s="172"/>
      <c r="BN45" s="172"/>
      <c r="BO45" s="276"/>
      <c r="BP45" s="267"/>
      <c r="BQ45" s="268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5"/>
    </row>
    <row r="46" spans="2:87" x14ac:dyDescent="0.2">
      <c r="B46" s="181" t="s">
        <v>341</v>
      </c>
      <c r="C46" s="187" t="s">
        <v>290</v>
      </c>
      <c r="D46" s="174"/>
      <c r="E46" s="172"/>
      <c r="F46" s="172"/>
      <c r="G46" s="172"/>
      <c r="H46" s="172"/>
      <c r="I46" s="172"/>
      <c r="J46" s="172"/>
      <c r="K46" s="276"/>
      <c r="L46" s="267"/>
      <c r="M46" s="267"/>
      <c r="N46" s="267"/>
      <c r="O46" s="268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5"/>
      <c r="AF46" s="174"/>
      <c r="AG46" s="172"/>
      <c r="AH46" s="172"/>
      <c r="AI46" s="172"/>
      <c r="AJ46" s="172"/>
      <c r="AK46" s="172"/>
      <c r="AL46" s="172"/>
      <c r="AM46" s="276"/>
      <c r="AN46" s="267"/>
      <c r="AO46" s="267"/>
      <c r="AP46" s="267"/>
      <c r="AQ46" s="268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5"/>
      <c r="BH46" s="174"/>
      <c r="BI46" s="172"/>
      <c r="BJ46" s="172"/>
      <c r="BK46" s="172"/>
      <c r="BL46" s="172"/>
      <c r="BM46" s="172"/>
      <c r="BN46" s="172"/>
      <c r="BO46" s="276"/>
      <c r="BP46" s="267"/>
      <c r="BQ46" s="267"/>
      <c r="BR46" s="267"/>
      <c r="BS46" s="268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5"/>
    </row>
    <row r="47" spans="2:87" x14ac:dyDescent="0.2">
      <c r="B47" s="181" t="s">
        <v>342</v>
      </c>
      <c r="C47" s="187" t="s">
        <v>304</v>
      </c>
      <c r="D47" s="174"/>
      <c r="E47" s="172"/>
      <c r="F47" s="172"/>
      <c r="G47" s="172"/>
      <c r="H47" s="172"/>
      <c r="I47" s="172"/>
      <c r="J47" s="172"/>
      <c r="K47" s="276"/>
      <c r="L47" s="267"/>
      <c r="M47" s="267"/>
      <c r="N47" s="268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5"/>
      <c r="AF47" s="174"/>
      <c r="AG47" s="172"/>
      <c r="AH47" s="172"/>
      <c r="AI47" s="172"/>
      <c r="AJ47" s="172"/>
      <c r="AK47" s="172"/>
      <c r="AL47" s="172"/>
      <c r="AM47" s="276"/>
      <c r="AN47" s="267"/>
      <c r="AO47" s="267"/>
      <c r="AP47" s="268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5"/>
      <c r="BH47" s="174"/>
      <c r="BI47" s="172"/>
      <c r="BJ47" s="172"/>
      <c r="BK47" s="172"/>
      <c r="BL47" s="172"/>
      <c r="BM47" s="172"/>
      <c r="BN47" s="172"/>
      <c r="BO47" s="276"/>
      <c r="BP47" s="267"/>
      <c r="BQ47" s="267"/>
      <c r="BR47" s="268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5"/>
    </row>
    <row r="48" spans="2:87" x14ac:dyDescent="0.2">
      <c r="B48" s="181" t="s">
        <v>343</v>
      </c>
      <c r="C48" s="187" t="s">
        <v>290</v>
      </c>
      <c r="D48" s="174"/>
      <c r="E48" s="172"/>
      <c r="F48" s="172"/>
      <c r="G48" s="172"/>
      <c r="H48" s="172"/>
      <c r="I48" s="172"/>
      <c r="J48" s="172"/>
      <c r="K48" s="172"/>
      <c r="L48" s="172"/>
      <c r="M48" s="276"/>
      <c r="N48" s="267"/>
      <c r="O48" s="267"/>
      <c r="P48" s="267"/>
      <c r="Q48" s="268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5"/>
      <c r="AF48" s="174"/>
      <c r="AG48" s="172"/>
      <c r="AH48" s="172"/>
      <c r="AI48" s="172"/>
      <c r="AJ48" s="172"/>
      <c r="AK48" s="172"/>
      <c r="AL48" s="172"/>
      <c r="AM48" s="172"/>
      <c r="AN48" s="172"/>
      <c r="AO48" s="276"/>
      <c r="AP48" s="267"/>
      <c r="AQ48" s="267"/>
      <c r="AR48" s="267"/>
      <c r="AS48" s="268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5"/>
      <c r="BH48" s="174"/>
      <c r="BI48" s="172"/>
      <c r="BJ48" s="172"/>
      <c r="BK48" s="172"/>
      <c r="BL48" s="172"/>
      <c r="BM48" s="172"/>
      <c r="BN48" s="172"/>
      <c r="BO48" s="172"/>
      <c r="BP48" s="172"/>
      <c r="BQ48" s="276"/>
      <c r="BR48" s="267"/>
      <c r="BS48" s="267"/>
      <c r="BT48" s="267"/>
      <c r="BU48" s="268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5"/>
    </row>
    <row r="49" spans="2:87" x14ac:dyDescent="0.2">
      <c r="B49" s="181" t="s">
        <v>344</v>
      </c>
      <c r="C49" s="187" t="s">
        <v>307</v>
      </c>
      <c r="D49" s="174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276"/>
      <c r="Q49" s="267"/>
      <c r="R49" s="268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5"/>
      <c r="AF49" s="174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276"/>
      <c r="AS49" s="267"/>
      <c r="AT49" s="268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5"/>
      <c r="BH49" s="174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276"/>
      <c r="BU49" s="267"/>
      <c r="BV49" s="268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5"/>
    </row>
    <row r="50" spans="2:87" ht="30.75" customHeight="1" x14ac:dyDescent="0.2">
      <c r="B50" s="181" t="s">
        <v>345</v>
      </c>
      <c r="C50" s="187" t="s">
        <v>290</v>
      </c>
      <c r="D50" s="174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276"/>
      <c r="S50" s="267"/>
      <c r="T50" s="267"/>
      <c r="U50" s="267"/>
      <c r="V50" s="268"/>
      <c r="W50" s="172"/>
      <c r="X50" s="172"/>
      <c r="Y50" s="172"/>
      <c r="Z50" s="172"/>
      <c r="AA50" s="172"/>
      <c r="AB50" s="172"/>
      <c r="AC50" s="172"/>
      <c r="AD50" s="172"/>
      <c r="AE50" s="175"/>
      <c r="AF50" s="174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276"/>
      <c r="AU50" s="267"/>
      <c r="AV50" s="267"/>
      <c r="AW50" s="267"/>
      <c r="AX50" s="268"/>
      <c r="AY50" s="172"/>
      <c r="AZ50" s="172"/>
      <c r="BA50" s="172"/>
      <c r="BB50" s="172"/>
      <c r="BC50" s="172"/>
      <c r="BD50" s="172"/>
      <c r="BE50" s="172"/>
      <c r="BF50" s="172"/>
      <c r="BG50" s="175"/>
      <c r="BH50" s="174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276"/>
      <c r="BW50" s="267"/>
      <c r="BX50" s="267"/>
      <c r="BY50" s="267"/>
      <c r="BZ50" s="268"/>
      <c r="CA50" s="172"/>
      <c r="CB50" s="172"/>
      <c r="CC50" s="172"/>
      <c r="CD50" s="172"/>
      <c r="CE50" s="172"/>
      <c r="CF50" s="172"/>
      <c r="CG50" s="172"/>
      <c r="CH50" s="172"/>
      <c r="CI50" s="175"/>
    </row>
    <row r="51" spans="2:87" x14ac:dyDescent="0.2">
      <c r="B51" s="180" t="s">
        <v>346</v>
      </c>
      <c r="C51" s="186" t="s">
        <v>347</v>
      </c>
      <c r="D51" s="191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3"/>
      <c r="AF51" s="191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3"/>
      <c r="BH51" s="191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3"/>
    </row>
    <row r="52" spans="2:87" x14ac:dyDescent="0.2">
      <c r="B52" s="181" t="s">
        <v>348</v>
      </c>
      <c r="C52" s="187" t="s">
        <v>311</v>
      </c>
      <c r="D52" s="174"/>
      <c r="E52" s="172"/>
      <c r="F52" s="172"/>
      <c r="G52" s="172"/>
      <c r="H52" s="172"/>
      <c r="I52" s="172"/>
      <c r="J52" s="172"/>
      <c r="K52" s="172"/>
      <c r="L52" s="172"/>
      <c r="M52" s="276"/>
      <c r="N52" s="267"/>
      <c r="O52" s="268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5"/>
      <c r="AF52" s="174"/>
      <c r="AG52" s="172"/>
      <c r="AH52" s="172"/>
      <c r="AI52" s="172"/>
      <c r="AJ52" s="172"/>
      <c r="AK52" s="172"/>
      <c r="AL52" s="172"/>
      <c r="AM52" s="172"/>
      <c r="AN52" s="172"/>
      <c r="AO52" s="276"/>
      <c r="AP52" s="267"/>
      <c r="AQ52" s="268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5"/>
      <c r="BH52" s="174"/>
      <c r="BI52" s="172"/>
      <c r="BJ52" s="172"/>
      <c r="BK52" s="172"/>
      <c r="BL52" s="172"/>
      <c r="BM52" s="172"/>
      <c r="BN52" s="172"/>
      <c r="BO52" s="172"/>
      <c r="BP52" s="172"/>
      <c r="BQ52" s="276"/>
      <c r="BR52" s="267"/>
      <c r="BS52" s="268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5"/>
    </row>
    <row r="53" spans="2:87" x14ac:dyDescent="0.2">
      <c r="B53" s="181" t="s">
        <v>349</v>
      </c>
      <c r="C53" s="187" t="s">
        <v>311</v>
      </c>
      <c r="D53" s="174"/>
      <c r="E53" s="172"/>
      <c r="F53" s="172"/>
      <c r="G53" s="172"/>
      <c r="H53" s="172"/>
      <c r="I53" s="172"/>
      <c r="J53" s="172"/>
      <c r="K53" s="172"/>
      <c r="L53" s="276"/>
      <c r="M53" s="267"/>
      <c r="N53" s="268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5"/>
      <c r="AF53" s="174"/>
      <c r="AG53" s="172"/>
      <c r="AH53" s="172"/>
      <c r="AI53" s="172"/>
      <c r="AJ53" s="172"/>
      <c r="AK53" s="172"/>
      <c r="AL53" s="172"/>
      <c r="AM53" s="172"/>
      <c r="AN53" s="276"/>
      <c r="AO53" s="267"/>
      <c r="AP53" s="268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5"/>
      <c r="BH53" s="174"/>
      <c r="BI53" s="172"/>
      <c r="BJ53" s="172"/>
      <c r="BK53" s="172"/>
      <c r="BL53" s="172"/>
      <c r="BM53" s="172"/>
      <c r="BN53" s="172"/>
      <c r="BO53" s="172"/>
      <c r="BP53" s="276"/>
      <c r="BQ53" s="267"/>
      <c r="BR53" s="268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2"/>
      <c r="CI53" s="175"/>
    </row>
    <row r="54" spans="2:87" x14ac:dyDescent="0.2">
      <c r="B54" s="181" t="s">
        <v>350</v>
      </c>
      <c r="C54" s="187" t="s">
        <v>311</v>
      </c>
      <c r="D54" s="174"/>
      <c r="E54" s="172"/>
      <c r="F54" s="172"/>
      <c r="G54" s="172"/>
      <c r="H54" s="172"/>
      <c r="I54" s="172"/>
      <c r="J54" s="172"/>
      <c r="K54" s="172"/>
      <c r="L54" s="276"/>
      <c r="M54" s="267"/>
      <c r="N54" s="268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5"/>
      <c r="AF54" s="174"/>
      <c r="AG54" s="172"/>
      <c r="AH54" s="172"/>
      <c r="AI54" s="172"/>
      <c r="AJ54" s="172"/>
      <c r="AK54" s="172"/>
      <c r="AL54" s="172"/>
      <c r="AM54" s="172"/>
      <c r="AN54" s="276"/>
      <c r="AO54" s="267"/>
      <c r="AP54" s="268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5"/>
      <c r="BH54" s="174"/>
      <c r="BI54" s="172"/>
      <c r="BJ54" s="172"/>
      <c r="BK54" s="172"/>
      <c r="BL54" s="172"/>
      <c r="BM54" s="172"/>
      <c r="BN54" s="172"/>
      <c r="BO54" s="172"/>
      <c r="BP54" s="276"/>
      <c r="BQ54" s="267"/>
      <c r="BR54" s="268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5"/>
    </row>
    <row r="55" spans="2:87" x14ac:dyDescent="0.2">
      <c r="B55" s="181" t="s">
        <v>351</v>
      </c>
      <c r="C55" s="187" t="s">
        <v>307</v>
      </c>
      <c r="D55" s="174"/>
      <c r="E55" s="172"/>
      <c r="F55" s="172"/>
      <c r="G55" s="172"/>
      <c r="H55" s="172"/>
      <c r="I55" s="172"/>
      <c r="J55" s="172"/>
      <c r="K55" s="172"/>
      <c r="L55" s="172"/>
      <c r="M55" s="196"/>
      <c r="N55" s="197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5"/>
      <c r="AF55" s="174"/>
      <c r="AG55" s="172"/>
      <c r="AH55" s="172"/>
      <c r="AI55" s="172"/>
      <c r="AJ55" s="172"/>
      <c r="AK55" s="172"/>
      <c r="AL55" s="172"/>
      <c r="AM55" s="172"/>
      <c r="AN55" s="172"/>
      <c r="AO55" s="196"/>
      <c r="AP55" s="197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5"/>
      <c r="BH55" s="174"/>
      <c r="BI55" s="172"/>
      <c r="BJ55" s="172"/>
      <c r="BK55" s="172"/>
      <c r="BL55" s="172"/>
      <c r="BM55" s="172"/>
      <c r="BN55" s="172"/>
      <c r="BO55" s="172"/>
      <c r="BP55" s="172"/>
      <c r="BQ55" s="196"/>
      <c r="BR55" s="197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5"/>
    </row>
    <row r="56" spans="2:87" x14ac:dyDescent="0.2">
      <c r="B56" s="181" t="s">
        <v>352</v>
      </c>
      <c r="C56" s="187" t="s">
        <v>307</v>
      </c>
      <c r="D56" s="174"/>
      <c r="E56" s="172"/>
      <c r="F56" s="172"/>
      <c r="G56" s="172"/>
      <c r="H56" s="172"/>
      <c r="I56" s="172"/>
      <c r="J56" s="172"/>
      <c r="K56" s="172"/>
      <c r="L56" s="172"/>
      <c r="M56" s="196"/>
      <c r="N56" s="197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5"/>
      <c r="AF56" s="174"/>
      <c r="AG56" s="172"/>
      <c r="AH56" s="172"/>
      <c r="AI56" s="172"/>
      <c r="AJ56" s="172"/>
      <c r="AK56" s="172"/>
      <c r="AL56" s="172"/>
      <c r="AM56" s="172"/>
      <c r="AN56" s="172"/>
      <c r="AO56" s="196"/>
      <c r="AP56" s="197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5"/>
      <c r="BH56" s="174"/>
      <c r="BI56" s="172"/>
      <c r="BJ56" s="172"/>
      <c r="BK56" s="172"/>
      <c r="BL56" s="172"/>
      <c r="BM56" s="172"/>
      <c r="BN56" s="172"/>
      <c r="BO56" s="172"/>
      <c r="BP56" s="172"/>
      <c r="BQ56" s="196"/>
      <c r="BR56" s="197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  <c r="CH56" s="172"/>
      <c r="CI56" s="175"/>
    </row>
    <row r="57" spans="2:87" x14ac:dyDescent="0.2">
      <c r="B57" s="181" t="s">
        <v>353</v>
      </c>
      <c r="C57" s="187" t="s">
        <v>334</v>
      </c>
      <c r="D57" s="174"/>
      <c r="E57" s="172"/>
      <c r="F57" s="172"/>
      <c r="G57" s="172"/>
      <c r="H57" s="172"/>
      <c r="I57" s="172"/>
      <c r="J57" s="172"/>
      <c r="K57" s="172"/>
      <c r="L57" s="172"/>
      <c r="M57" s="195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5"/>
      <c r="AF57" s="174"/>
      <c r="AG57" s="172"/>
      <c r="AH57" s="172"/>
      <c r="AI57" s="172"/>
      <c r="AJ57" s="172"/>
      <c r="AK57" s="172"/>
      <c r="AL57" s="172"/>
      <c r="AM57" s="172"/>
      <c r="AN57" s="172"/>
      <c r="AO57" s="195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5"/>
      <c r="BH57" s="174"/>
      <c r="BI57" s="172"/>
      <c r="BJ57" s="172"/>
      <c r="BK57" s="172"/>
      <c r="BL57" s="172"/>
      <c r="BM57" s="172"/>
      <c r="BN57" s="172"/>
      <c r="BO57" s="172"/>
      <c r="BP57" s="172"/>
      <c r="BQ57" s="195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  <c r="CH57" s="172"/>
      <c r="CI57" s="175"/>
    </row>
    <row r="58" spans="2:87" x14ac:dyDescent="0.2">
      <c r="B58" s="180" t="s">
        <v>144</v>
      </c>
      <c r="C58" s="186" t="s">
        <v>354</v>
      </c>
      <c r="D58" s="191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3"/>
      <c r="AF58" s="191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3"/>
      <c r="BH58" s="191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3"/>
    </row>
    <row r="59" spans="2:87" x14ac:dyDescent="0.2">
      <c r="B59" s="181" t="s">
        <v>348</v>
      </c>
      <c r="C59" s="187" t="s">
        <v>290</v>
      </c>
      <c r="D59" s="174"/>
      <c r="E59" s="172"/>
      <c r="F59" s="172"/>
      <c r="G59" s="172"/>
      <c r="H59" s="172"/>
      <c r="I59" s="172"/>
      <c r="J59" s="172"/>
      <c r="K59" s="172"/>
      <c r="L59" s="276"/>
      <c r="M59" s="267"/>
      <c r="N59" s="267"/>
      <c r="O59" s="267"/>
      <c r="P59" s="268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5"/>
      <c r="AF59" s="174"/>
      <c r="AG59" s="172"/>
      <c r="AH59" s="172"/>
      <c r="AI59" s="172"/>
      <c r="AJ59" s="172"/>
      <c r="AK59" s="172"/>
      <c r="AL59" s="172"/>
      <c r="AM59" s="172"/>
      <c r="AN59" s="276"/>
      <c r="AO59" s="267"/>
      <c r="AP59" s="267"/>
      <c r="AQ59" s="267"/>
      <c r="AR59" s="268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5"/>
      <c r="BH59" s="174"/>
      <c r="BI59" s="172"/>
      <c r="BJ59" s="172"/>
      <c r="BK59" s="172"/>
      <c r="BL59" s="172"/>
      <c r="BM59" s="172"/>
      <c r="BN59" s="172"/>
      <c r="BO59" s="172"/>
      <c r="BP59" s="276"/>
      <c r="BQ59" s="267"/>
      <c r="BR59" s="267"/>
      <c r="BS59" s="267"/>
      <c r="BT59" s="268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  <c r="CH59" s="172"/>
      <c r="CI59" s="175"/>
    </row>
    <row r="60" spans="2:87" x14ac:dyDescent="0.2">
      <c r="B60" s="181" t="s">
        <v>349</v>
      </c>
      <c r="C60" s="187" t="s">
        <v>290</v>
      </c>
      <c r="D60" s="174"/>
      <c r="E60" s="172"/>
      <c r="F60" s="172"/>
      <c r="G60" s="172"/>
      <c r="H60" s="172"/>
      <c r="I60" s="172"/>
      <c r="J60" s="172"/>
      <c r="K60" s="172"/>
      <c r="L60" s="276"/>
      <c r="M60" s="267"/>
      <c r="N60" s="267"/>
      <c r="O60" s="267"/>
      <c r="P60" s="268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5"/>
      <c r="AF60" s="174"/>
      <c r="AG60" s="172"/>
      <c r="AH60" s="172"/>
      <c r="AI60" s="172"/>
      <c r="AJ60" s="172"/>
      <c r="AK60" s="172"/>
      <c r="AL60" s="172"/>
      <c r="AM60" s="172"/>
      <c r="AN60" s="276"/>
      <c r="AO60" s="267"/>
      <c r="AP60" s="267"/>
      <c r="AQ60" s="267"/>
      <c r="AR60" s="268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5"/>
      <c r="BH60" s="174"/>
      <c r="BI60" s="172"/>
      <c r="BJ60" s="172"/>
      <c r="BK60" s="172"/>
      <c r="BL60" s="172"/>
      <c r="BM60" s="172"/>
      <c r="BN60" s="172"/>
      <c r="BO60" s="172"/>
      <c r="BP60" s="276"/>
      <c r="BQ60" s="267"/>
      <c r="BR60" s="267"/>
      <c r="BS60" s="267"/>
      <c r="BT60" s="268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5"/>
    </row>
    <row r="61" spans="2:87" x14ac:dyDescent="0.2">
      <c r="B61" s="181" t="s">
        <v>355</v>
      </c>
      <c r="C61" s="187" t="s">
        <v>311</v>
      </c>
      <c r="D61" s="174"/>
      <c r="E61" s="172"/>
      <c r="F61" s="172"/>
      <c r="G61" s="172"/>
      <c r="H61" s="172"/>
      <c r="I61" s="172"/>
      <c r="J61" s="172"/>
      <c r="K61" s="172"/>
      <c r="L61" s="172"/>
      <c r="M61" s="172"/>
      <c r="N61" s="276"/>
      <c r="O61" s="267"/>
      <c r="P61" s="268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5"/>
      <c r="AF61" s="174"/>
      <c r="AG61" s="172"/>
      <c r="AH61" s="172"/>
      <c r="AI61" s="172"/>
      <c r="AJ61" s="172"/>
      <c r="AK61" s="172"/>
      <c r="AL61" s="172"/>
      <c r="AM61" s="172"/>
      <c r="AN61" s="172"/>
      <c r="AO61" s="172"/>
      <c r="AP61" s="276"/>
      <c r="AQ61" s="267"/>
      <c r="AR61" s="268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5"/>
      <c r="BH61" s="174"/>
      <c r="BI61" s="172"/>
      <c r="BJ61" s="172"/>
      <c r="BK61" s="172"/>
      <c r="BL61" s="172"/>
      <c r="BM61" s="172"/>
      <c r="BN61" s="172"/>
      <c r="BO61" s="172"/>
      <c r="BP61" s="172"/>
      <c r="BQ61" s="172"/>
      <c r="BR61" s="276"/>
      <c r="BS61" s="267"/>
      <c r="BT61" s="268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5"/>
    </row>
    <row r="62" spans="2:87" x14ac:dyDescent="0.2">
      <c r="B62" s="181" t="s">
        <v>356</v>
      </c>
      <c r="C62" s="187" t="s">
        <v>290</v>
      </c>
      <c r="D62" s="174"/>
      <c r="E62" s="172"/>
      <c r="F62" s="172"/>
      <c r="G62" s="172"/>
      <c r="H62" s="172"/>
      <c r="I62" s="172"/>
      <c r="J62" s="172"/>
      <c r="K62" s="172"/>
      <c r="L62" s="276"/>
      <c r="M62" s="267"/>
      <c r="N62" s="267"/>
      <c r="O62" s="267"/>
      <c r="P62" s="268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5"/>
      <c r="AF62" s="174"/>
      <c r="AG62" s="172"/>
      <c r="AH62" s="172"/>
      <c r="AI62" s="172"/>
      <c r="AJ62" s="172"/>
      <c r="AK62" s="172"/>
      <c r="AL62" s="172"/>
      <c r="AM62" s="172"/>
      <c r="AN62" s="276"/>
      <c r="AO62" s="267"/>
      <c r="AP62" s="267"/>
      <c r="AQ62" s="267"/>
      <c r="AR62" s="268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5"/>
      <c r="BH62" s="174"/>
      <c r="BI62" s="172"/>
      <c r="BJ62" s="172"/>
      <c r="BK62" s="172"/>
      <c r="BL62" s="172"/>
      <c r="BM62" s="172"/>
      <c r="BN62" s="172"/>
      <c r="BO62" s="172"/>
      <c r="BP62" s="276"/>
      <c r="BQ62" s="267"/>
      <c r="BR62" s="267"/>
      <c r="BS62" s="267"/>
      <c r="BT62" s="268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  <c r="CH62" s="172"/>
      <c r="CI62" s="175"/>
    </row>
    <row r="63" spans="2:87" x14ac:dyDescent="0.2">
      <c r="B63" s="181" t="s">
        <v>357</v>
      </c>
      <c r="C63" s="187" t="s">
        <v>290</v>
      </c>
      <c r="D63" s="174"/>
      <c r="E63" s="172"/>
      <c r="F63" s="172"/>
      <c r="G63" s="172"/>
      <c r="H63" s="172"/>
      <c r="I63" s="172"/>
      <c r="J63" s="172"/>
      <c r="K63" s="172"/>
      <c r="L63" s="276"/>
      <c r="M63" s="267"/>
      <c r="N63" s="267"/>
      <c r="O63" s="267"/>
      <c r="P63" s="268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5"/>
      <c r="AF63" s="174"/>
      <c r="AG63" s="172"/>
      <c r="AH63" s="172"/>
      <c r="AI63" s="172"/>
      <c r="AJ63" s="172"/>
      <c r="AK63" s="172"/>
      <c r="AL63" s="172"/>
      <c r="AM63" s="172"/>
      <c r="AN63" s="276"/>
      <c r="AO63" s="267"/>
      <c r="AP63" s="267"/>
      <c r="AQ63" s="267"/>
      <c r="AR63" s="268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5"/>
      <c r="BH63" s="174"/>
      <c r="BI63" s="172"/>
      <c r="BJ63" s="172"/>
      <c r="BK63" s="172"/>
      <c r="BL63" s="172"/>
      <c r="BM63" s="172"/>
      <c r="BN63" s="172"/>
      <c r="BO63" s="172"/>
      <c r="BP63" s="276"/>
      <c r="BQ63" s="267"/>
      <c r="BR63" s="267"/>
      <c r="BS63" s="267"/>
      <c r="BT63" s="268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  <c r="CH63" s="172"/>
      <c r="CI63" s="175"/>
    </row>
    <row r="64" spans="2:87" x14ac:dyDescent="0.2">
      <c r="B64" s="181" t="s">
        <v>358</v>
      </c>
      <c r="C64" s="187" t="s">
        <v>311</v>
      </c>
      <c r="D64" s="174"/>
      <c r="E64" s="172"/>
      <c r="F64" s="172"/>
      <c r="G64" s="172"/>
      <c r="H64" s="172"/>
      <c r="I64" s="172"/>
      <c r="J64" s="172"/>
      <c r="K64" s="172"/>
      <c r="L64" s="172"/>
      <c r="M64" s="172"/>
      <c r="N64" s="276"/>
      <c r="O64" s="267"/>
      <c r="P64" s="268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5"/>
      <c r="AF64" s="174"/>
      <c r="AG64" s="172"/>
      <c r="AH64" s="172"/>
      <c r="AI64" s="172"/>
      <c r="AJ64" s="172"/>
      <c r="AK64" s="172"/>
      <c r="AL64" s="172"/>
      <c r="AM64" s="172"/>
      <c r="AN64" s="172"/>
      <c r="AO64" s="172"/>
      <c r="AP64" s="276"/>
      <c r="AQ64" s="267"/>
      <c r="AR64" s="268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5"/>
      <c r="BH64" s="174"/>
      <c r="BI64" s="172"/>
      <c r="BJ64" s="172"/>
      <c r="BK64" s="172"/>
      <c r="BL64" s="172"/>
      <c r="BM64" s="172"/>
      <c r="BN64" s="172"/>
      <c r="BO64" s="172"/>
      <c r="BP64" s="172"/>
      <c r="BQ64" s="172"/>
      <c r="BR64" s="276"/>
      <c r="BS64" s="267"/>
      <c r="BT64" s="268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  <c r="CH64" s="172"/>
      <c r="CI64" s="175"/>
    </row>
    <row r="65" spans="2:87" x14ac:dyDescent="0.2">
      <c r="B65" s="180" t="s">
        <v>359</v>
      </c>
      <c r="C65" s="186" t="s">
        <v>360</v>
      </c>
      <c r="D65" s="191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3"/>
      <c r="AF65" s="191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3"/>
      <c r="BH65" s="191"/>
      <c r="BI65" s="192"/>
      <c r="BJ65" s="192"/>
      <c r="BK65" s="192"/>
      <c r="BL65" s="192"/>
      <c r="BM65" s="192"/>
      <c r="BN65" s="192"/>
      <c r="BO65" s="192"/>
      <c r="BP65" s="192"/>
      <c r="BQ65" s="192"/>
      <c r="BR65" s="192"/>
      <c r="BS65" s="192"/>
      <c r="BT65" s="192"/>
      <c r="BU65" s="192"/>
      <c r="BV65" s="192"/>
      <c r="BW65" s="192"/>
      <c r="BX65" s="192"/>
      <c r="BY65" s="192"/>
      <c r="BZ65" s="192"/>
      <c r="CA65" s="192"/>
      <c r="CB65" s="192"/>
      <c r="CC65" s="192"/>
      <c r="CD65" s="192"/>
      <c r="CE65" s="192"/>
      <c r="CF65" s="192"/>
      <c r="CG65" s="192"/>
      <c r="CH65" s="192"/>
      <c r="CI65" s="193"/>
    </row>
    <row r="66" spans="2:87" x14ac:dyDescent="0.2">
      <c r="B66" s="181" t="s">
        <v>361</v>
      </c>
      <c r="C66" s="187" t="s">
        <v>307</v>
      </c>
      <c r="D66" s="174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95"/>
      <c r="Q66" s="195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5"/>
      <c r="AF66" s="174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95"/>
      <c r="AS66" s="195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5"/>
      <c r="BH66" s="174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95"/>
      <c r="BU66" s="195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  <c r="CH66" s="172"/>
      <c r="CI66" s="175"/>
    </row>
    <row r="67" spans="2:87" x14ac:dyDescent="0.2">
      <c r="B67" s="180" t="s">
        <v>166</v>
      </c>
      <c r="C67" s="186" t="s">
        <v>362</v>
      </c>
      <c r="D67" s="191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3"/>
      <c r="AF67" s="191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3"/>
      <c r="BH67" s="191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2"/>
      <c r="CH67" s="192"/>
      <c r="CI67" s="193"/>
    </row>
    <row r="68" spans="2:87" x14ac:dyDescent="0.2">
      <c r="B68" s="181" t="s">
        <v>363</v>
      </c>
      <c r="C68" s="187" t="s">
        <v>334</v>
      </c>
      <c r="D68" s="174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98"/>
      <c r="AF68" s="174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98"/>
      <c r="BH68" s="174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  <c r="CH68" s="172"/>
      <c r="CI68" s="198"/>
    </row>
    <row r="69" spans="2:87" x14ac:dyDescent="0.2">
      <c r="B69" s="181" t="s">
        <v>364</v>
      </c>
      <c r="C69" s="187" t="s">
        <v>334</v>
      </c>
      <c r="D69" s="174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98"/>
      <c r="AF69" s="174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98"/>
      <c r="BH69" s="174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  <c r="CH69" s="172"/>
      <c r="CI69" s="198"/>
    </row>
    <row r="70" spans="2:87" x14ac:dyDescent="0.2">
      <c r="B70" s="180" t="s">
        <v>113</v>
      </c>
      <c r="C70" s="186" t="s">
        <v>301</v>
      </c>
      <c r="D70" s="191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3"/>
      <c r="AF70" s="191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3"/>
      <c r="BH70" s="191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3"/>
    </row>
    <row r="71" spans="2:87" x14ac:dyDescent="0.2">
      <c r="B71" s="181" t="s">
        <v>365</v>
      </c>
      <c r="C71" s="187" t="s">
        <v>366</v>
      </c>
      <c r="D71" s="19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8"/>
      <c r="AF71" s="194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8"/>
      <c r="BH71" s="194"/>
      <c r="BI71" s="195"/>
      <c r="BJ71" s="195"/>
      <c r="BK71" s="195"/>
      <c r="BL71" s="195"/>
      <c r="BM71" s="195"/>
      <c r="BN71" s="195"/>
      <c r="BO71" s="195"/>
      <c r="BP71" s="195"/>
      <c r="BQ71" s="195"/>
      <c r="BR71" s="195"/>
      <c r="BS71" s="195"/>
      <c r="BT71" s="195"/>
      <c r="BU71" s="195"/>
      <c r="BV71" s="195"/>
      <c r="BW71" s="195"/>
      <c r="BX71" s="195"/>
      <c r="BY71" s="195"/>
      <c r="BZ71" s="195"/>
      <c r="CA71" s="195"/>
      <c r="CB71" s="195"/>
      <c r="CC71" s="195"/>
      <c r="CD71" s="195"/>
      <c r="CE71" s="195"/>
      <c r="CF71" s="195"/>
      <c r="CG71" s="195"/>
      <c r="CH71" s="195"/>
      <c r="CI71" s="198"/>
    </row>
    <row r="72" spans="2:87" x14ac:dyDescent="0.2">
      <c r="B72" s="180" t="s">
        <v>367</v>
      </c>
      <c r="C72" s="186" t="s">
        <v>290</v>
      </c>
      <c r="D72" s="191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3"/>
      <c r="AF72" s="191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3"/>
      <c r="BH72" s="191"/>
      <c r="BI72" s="192"/>
      <c r="BJ72" s="192"/>
      <c r="BK72" s="192"/>
      <c r="BL72" s="192"/>
      <c r="BM72" s="192"/>
      <c r="BN72" s="192"/>
      <c r="BO72" s="192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92"/>
      <c r="CA72" s="192"/>
      <c r="CB72" s="192"/>
      <c r="CC72" s="192"/>
      <c r="CD72" s="192"/>
      <c r="CE72" s="192"/>
      <c r="CF72" s="192"/>
      <c r="CG72" s="192"/>
      <c r="CH72" s="192"/>
      <c r="CI72" s="193"/>
    </row>
    <row r="73" spans="2:87" x14ac:dyDescent="0.2">
      <c r="B73" s="180" t="s">
        <v>368</v>
      </c>
      <c r="C73" s="186" t="s">
        <v>309</v>
      </c>
      <c r="D73" s="191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3"/>
      <c r="AF73" s="191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3"/>
      <c r="BH73" s="191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H73" s="192"/>
      <c r="CI73" s="193"/>
    </row>
    <row r="74" spans="2:87" ht="26" x14ac:dyDescent="0.2">
      <c r="B74" s="181" t="s">
        <v>369</v>
      </c>
      <c r="C74" s="187" t="s">
        <v>309</v>
      </c>
      <c r="D74" s="174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5"/>
      <c r="AF74" s="174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5"/>
      <c r="BH74" s="174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95"/>
      <c r="CI74" s="198"/>
    </row>
    <row r="75" spans="2:87" x14ac:dyDescent="0.2">
      <c r="B75" s="180" t="s">
        <v>370</v>
      </c>
      <c r="C75" s="186" t="s">
        <v>290</v>
      </c>
      <c r="D75" s="191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3"/>
      <c r="AF75" s="191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3"/>
      <c r="BH75" s="191"/>
      <c r="BI75" s="192"/>
      <c r="BJ75" s="192"/>
      <c r="BK75" s="192"/>
      <c r="BL75" s="192"/>
      <c r="BM75" s="192"/>
      <c r="BN75" s="192"/>
      <c r="BO75" s="192"/>
      <c r="BP75" s="192"/>
      <c r="BQ75" s="192"/>
      <c r="BR75" s="192"/>
      <c r="BS75" s="192"/>
      <c r="BT75" s="192"/>
      <c r="BU75" s="192"/>
      <c r="BV75" s="192"/>
      <c r="BW75" s="192"/>
      <c r="BX75" s="192"/>
      <c r="BY75" s="192"/>
      <c r="BZ75" s="192"/>
      <c r="CA75" s="192"/>
      <c r="CB75" s="192"/>
      <c r="CC75" s="192"/>
      <c r="CD75" s="192"/>
      <c r="CE75" s="192"/>
      <c r="CF75" s="192"/>
      <c r="CG75" s="192"/>
      <c r="CH75" s="192"/>
      <c r="CI75" s="193"/>
    </row>
    <row r="76" spans="2:87" ht="60" customHeight="1" x14ac:dyDescent="0.2">
      <c r="B76" s="181" t="s">
        <v>371</v>
      </c>
      <c r="C76" s="187" t="s">
        <v>372</v>
      </c>
      <c r="D76" s="174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5"/>
      <c r="AF76" s="174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5"/>
      <c r="BH76" s="174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95"/>
      <c r="CG76" s="172"/>
      <c r="CH76" s="172"/>
      <c r="CI76" s="175"/>
    </row>
    <row r="77" spans="2:87" ht="26" x14ac:dyDescent="0.2">
      <c r="B77" s="181" t="s">
        <v>373</v>
      </c>
      <c r="C77" s="187" t="s">
        <v>372</v>
      </c>
      <c r="D77" s="174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5"/>
      <c r="AF77" s="174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5"/>
      <c r="BH77" s="174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95"/>
      <c r="CG77" s="172"/>
      <c r="CH77" s="172"/>
      <c r="CI77" s="175"/>
    </row>
    <row r="78" spans="2:87" x14ac:dyDescent="0.2">
      <c r="B78" s="181" t="s">
        <v>374</v>
      </c>
      <c r="C78" s="187" t="s">
        <v>372</v>
      </c>
      <c r="D78" s="174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5"/>
      <c r="AF78" s="174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5"/>
      <c r="BH78" s="174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95"/>
      <c r="CG78" s="172"/>
      <c r="CH78" s="172"/>
      <c r="CI78" s="175"/>
    </row>
    <row r="79" spans="2:87" x14ac:dyDescent="0.2">
      <c r="B79" s="181" t="s">
        <v>375</v>
      </c>
      <c r="C79" s="187" t="s">
        <v>372</v>
      </c>
      <c r="D79" s="174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5"/>
      <c r="AF79" s="174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5"/>
      <c r="BH79" s="174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95"/>
      <c r="CG79" s="172"/>
      <c r="CH79" s="172"/>
      <c r="CI79" s="175"/>
    </row>
    <row r="80" spans="2:87" x14ac:dyDescent="0.2">
      <c r="B80" s="181" t="s">
        <v>376</v>
      </c>
      <c r="C80" s="187" t="s">
        <v>290</v>
      </c>
      <c r="D80" s="174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5"/>
      <c r="AF80" s="174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5"/>
      <c r="BH80" s="174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8"/>
    </row>
    <row r="81" spans="2:87" x14ac:dyDescent="0.2">
      <c r="B81" s="181" t="s">
        <v>377</v>
      </c>
      <c r="C81" s="187" t="s">
        <v>372</v>
      </c>
      <c r="D81" s="174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5"/>
      <c r="AF81" s="174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5"/>
      <c r="BH81" s="174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95"/>
      <c r="CG81" s="172"/>
      <c r="CH81" s="172"/>
      <c r="CI81" s="175"/>
    </row>
    <row r="82" spans="2:87" x14ac:dyDescent="0.2">
      <c r="B82" s="181" t="s">
        <v>378</v>
      </c>
      <c r="C82" s="187" t="s">
        <v>372</v>
      </c>
      <c r="D82" s="174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5"/>
      <c r="AF82" s="174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5"/>
      <c r="BH82" s="174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95"/>
      <c r="CG82" s="172"/>
      <c r="CH82" s="172"/>
      <c r="CI82" s="175"/>
    </row>
    <row r="83" spans="2:87" x14ac:dyDescent="0.2">
      <c r="B83" s="181" t="s">
        <v>379</v>
      </c>
      <c r="C83" s="187" t="s">
        <v>372</v>
      </c>
      <c r="D83" s="174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5"/>
      <c r="AF83" s="174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5"/>
      <c r="BH83" s="174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95"/>
      <c r="CG83" s="172"/>
      <c r="CH83" s="172"/>
      <c r="CI83" s="175"/>
    </row>
    <row r="84" spans="2:87" x14ac:dyDescent="0.2">
      <c r="B84" s="181" t="s">
        <v>380</v>
      </c>
      <c r="C84" s="187" t="s">
        <v>372</v>
      </c>
      <c r="D84" s="174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5"/>
      <c r="AF84" s="174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5"/>
      <c r="BH84" s="174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95"/>
      <c r="CG84" s="172"/>
      <c r="CH84" s="172"/>
      <c r="CI84" s="175"/>
    </row>
    <row r="85" spans="2:87" x14ac:dyDescent="0.2">
      <c r="B85" s="181" t="s">
        <v>381</v>
      </c>
      <c r="C85" s="187" t="s">
        <v>372</v>
      </c>
      <c r="D85" s="174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5"/>
      <c r="AF85" s="174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5"/>
      <c r="BH85" s="174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95"/>
      <c r="CG85" s="172"/>
      <c r="CH85" s="172"/>
      <c r="CI85" s="175"/>
    </row>
    <row r="86" spans="2:87" x14ac:dyDescent="0.2">
      <c r="B86" s="181" t="s">
        <v>382</v>
      </c>
      <c r="C86" s="187" t="s">
        <v>372</v>
      </c>
      <c r="D86" s="174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5"/>
      <c r="AF86" s="174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5"/>
      <c r="BH86" s="174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95"/>
      <c r="CG86" s="172"/>
      <c r="CH86" s="172"/>
      <c r="CI86" s="175"/>
    </row>
    <row r="87" spans="2:87" x14ac:dyDescent="0.2">
      <c r="B87" s="181" t="s">
        <v>383</v>
      </c>
      <c r="C87" s="187" t="s">
        <v>372</v>
      </c>
      <c r="D87" s="174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5"/>
      <c r="AF87" s="174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5"/>
      <c r="BH87" s="174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95"/>
      <c r="CG87" s="172"/>
      <c r="CH87" s="172"/>
      <c r="CI87" s="175"/>
    </row>
    <row r="88" spans="2:87" x14ac:dyDescent="0.2">
      <c r="B88" s="181" t="s">
        <v>384</v>
      </c>
      <c r="C88" s="187" t="s">
        <v>372</v>
      </c>
      <c r="D88" s="174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5"/>
      <c r="AF88" s="174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5"/>
      <c r="BH88" s="174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95"/>
      <c r="CG88" s="172"/>
      <c r="CH88" s="172"/>
      <c r="CI88" s="175"/>
    </row>
    <row r="89" spans="2:87" s="204" customFormat="1" x14ac:dyDescent="0.2">
      <c r="B89" s="199" t="s">
        <v>385</v>
      </c>
      <c r="C89" s="200" t="s">
        <v>372</v>
      </c>
      <c r="D89" s="201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3"/>
      <c r="AF89" s="201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3"/>
      <c r="BH89" s="201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  <c r="BU89" s="202"/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3"/>
    </row>
    <row r="90" spans="2:87" ht="39" x14ac:dyDescent="0.2">
      <c r="B90" s="181" t="s">
        <v>371</v>
      </c>
      <c r="C90" s="187" t="s">
        <v>372</v>
      </c>
      <c r="D90" s="174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5"/>
      <c r="AF90" s="174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98"/>
      <c r="BH90" s="174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  <c r="CH90" s="172"/>
      <c r="CI90" s="175"/>
    </row>
    <row r="91" spans="2:87" ht="26" x14ac:dyDescent="0.2">
      <c r="B91" s="181" t="s">
        <v>386</v>
      </c>
      <c r="C91" s="187" t="s">
        <v>372</v>
      </c>
      <c r="D91" s="174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5"/>
      <c r="AF91" s="174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98"/>
      <c r="BH91" s="174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  <c r="CH91" s="172"/>
      <c r="CI91" s="175"/>
    </row>
    <row r="92" spans="2:87" x14ac:dyDescent="0.2">
      <c r="B92" s="182" t="s">
        <v>387</v>
      </c>
      <c r="C92" s="188" t="s">
        <v>372</v>
      </c>
      <c r="D92" s="174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5"/>
      <c r="AF92" s="174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98"/>
      <c r="BH92" s="174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5"/>
    </row>
    <row r="93" spans="2:87" x14ac:dyDescent="0.2">
      <c r="B93" s="181" t="s">
        <v>388</v>
      </c>
      <c r="C93" s="187" t="s">
        <v>372</v>
      </c>
      <c r="D93" s="174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5"/>
      <c r="AF93" s="174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98"/>
      <c r="BH93" s="174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  <c r="CH93" s="172"/>
      <c r="CI93" s="175"/>
    </row>
    <row r="94" spans="2:87" x14ac:dyDescent="0.2">
      <c r="B94" s="181" t="s">
        <v>389</v>
      </c>
      <c r="C94" s="187" t="s">
        <v>372</v>
      </c>
      <c r="D94" s="174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5"/>
      <c r="AF94" s="174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98"/>
      <c r="BH94" s="174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5"/>
    </row>
    <row r="95" spans="2:87" x14ac:dyDescent="0.2">
      <c r="B95" s="181" t="s">
        <v>390</v>
      </c>
      <c r="C95" s="187" t="s">
        <v>372</v>
      </c>
      <c r="D95" s="174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5"/>
      <c r="AF95" s="174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98"/>
      <c r="BH95" s="174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  <c r="CH95" s="172"/>
      <c r="CI95" s="175"/>
    </row>
    <row r="96" spans="2:87" x14ac:dyDescent="0.2">
      <c r="B96" s="181" t="s">
        <v>391</v>
      </c>
      <c r="C96" s="187" t="s">
        <v>372</v>
      </c>
      <c r="D96" s="174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5"/>
      <c r="AF96" s="174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98"/>
      <c r="BH96" s="174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  <c r="CH96" s="172"/>
      <c r="CI96" s="175"/>
    </row>
    <row r="97" spans="2:87" x14ac:dyDescent="0.2">
      <c r="B97" s="181" t="s">
        <v>392</v>
      </c>
      <c r="C97" s="187" t="s">
        <v>372</v>
      </c>
      <c r="D97" s="174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5"/>
      <c r="AF97" s="174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98"/>
      <c r="BH97" s="174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  <c r="CH97" s="172"/>
      <c r="CI97" s="175"/>
    </row>
    <row r="98" spans="2:87" x14ac:dyDescent="0.2">
      <c r="B98" s="181" t="s">
        <v>393</v>
      </c>
      <c r="C98" s="187" t="s">
        <v>372</v>
      </c>
      <c r="D98" s="174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5"/>
      <c r="AF98" s="174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98"/>
      <c r="BH98" s="174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  <c r="CH98" s="172"/>
      <c r="CI98" s="175"/>
    </row>
    <row r="99" spans="2:87" x14ac:dyDescent="0.2">
      <c r="B99" s="181" t="s">
        <v>394</v>
      </c>
      <c r="C99" s="187" t="s">
        <v>372</v>
      </c>
      <c r="D99" s="174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5"/>
      <c r="AF99" s="174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98"/>
      <c r="BH99" s="174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  <c r="CH99" s="172"/>
      <c r="CI99" s="175"/>
    </row>
    <row r="100" spans="2:87" x14ac:dyDescent="0.2">
      <c r="B100" s="181" t="s">
        <v>395</v>
      </c>
      <c r="C100" s="187" t="s">
        <v>372</v>
      </c>
      <c r="D100" s="174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5"/>
      <c r="AF100" s="174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98"/>
      <c r="BH100" s="174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  <c r="CH100" s="172"/>
      <c r="CI100" s="175"/>
    </row>
    <row r="101" spans="2:87" x14ac:dyDescent="0.2">
      <c r="B101" s="181" t="s">
        <v>396</v>
      </c>
      <c r="C101" s="187" t="s">
        <v>372</v>
      </c>
      <c r="D101" s="174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5"/>
      <c r="AF101" s="174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98"/>
      <c r="BH101" s="174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  <c r="CH101" s="172"/>
      <c r="CI101" s="175"/>
    </row>
    <row r="102" spans="2:87" x14ac:dyDescent="0.2">
      <c r="B102" s="181" t="s">
        <v>397</v>
      </c>
      <c r="C102" s="187" t="s">
        <v>372</v>
      </c>
      <c r="D102" s="174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5"/>
      <c r="AF102" s="174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98"/>
      <c r="BH102" s="174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  <c r="CH102" s="172"/>
      <c r="CI102" s="175"/>
    </row>
    <row r="103" spans="2:87" x14ac:dyDescent="0.2">
      <c r="B103" s="181" t="s">
        <v>398</v>
      </c>
      <c r="C103" s="187" t="s">
        <v>372</v>
      </c>
      <c r="D103" s="174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5"/>
      <c r="AF103" s="174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98"/>
      <c r="BH103" s="174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  <c r="CH103" s="172"/>
      <c r="CI103" s="175"/>
    </row>
    <row r="104" spans="2:87" x14ac:dyDescent="0.2">
      <c r="B104" s="182" t="s">
        <v>399</v>
      </c>
      <c r="C104" s="188" t="s">
        <v>372</v>
      </c>
      <c r="D104" s="174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5"/>
      <c r="AF104" s="174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5"/>
      <c r="BH104" s="174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  <c r="CH104" s="172"/>
      <c r="CI104" s="175"/>
    </row>
    <row r="105" spans="2:87" ht="26" x14ac:dyDescent="0.2">
      <c r="B105" s="181" t="s">
        <v>400</v>
      </c>
      <c r="C105" s="187" t="s">
        <v>372</v>
      </c>
      <c r="D105" s="174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5"/>
      <c r="AF105" s="174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98"/>
      <c r="BH105" s="174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  <c r="CH105" s="172"/>
      <c r="CI105" s="175"/>
    </row>
    <row r="106" spans="2:87" s="204" customFormat="1" x14ac:dyDescent="0.2">
      <c r="B106" s="199" t="s">
        <v>401</v>
      </c>
      <c r="C106" s="200" t="s">
        <v>372</v>
      </c>
      <c r="D106" s="201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3"/>
      <c r="AF106" s="201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3"/>
      <c r="BH106" s="201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3"/>
    </row>
    <row r="107" spans="2:87" ht="26" x14ac:dyDescent="0.2">
      <c r="B107" s="181" t="s">
        <v>369</v>
      </c>
      <c r="C107" s="187" t="s">
        <v>372</v>
      </c>
      <c r="D107" s="174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5"/>
      <c r="AF107" s="174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98"/>
      <c r="BH107" s="174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  <c r="CH107" s="172"/>
      <c r="CI107" s="175"/>
    </row>
    <row r="108" spans="2:87" x14ac:dyDescent="0.2">
      <c r="B108" s="181" t="s">
        <v>402</v>
      </c>
      <c r="C108" s="187" t="s">
        <v>372</v>
      </c>
      <c r="D108" s="174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5"/>
      <c r="AF108" s="174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98"/>
      <c r="BH108" s="174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5"/>
    </row>
    <row r="109" spans="2:87" x14ac:dyDescent="0.2">
      <c r="B109" s="182" t="s">
        <v>403</v>
      </c>
      <c r="C109" s="188" t="s">
        <v>372</v>
      </c>
      <c r="D109" s="174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5"/>
      <c r="AF109" s="174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5"/>
      <c r="BH109" s="174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  <c r="CH109" s="172"/>
      <c r="CI109" s="175"/>
    </row>
    <row r="110" spans="2:87" x14ac:dyDescent="0.2">
      <c r="B110" s="181" t="s">
        <v>389</v>
      </c>
      <c r="C110" s="187" t="s">
        <v>372</v>
      </c>
      <c r="D110" s="174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98"/>
      <c r="AF110" s="174"/>
      <c r="AG110" s="172"/>
      <c r="AH110" s="172"/>
      <c r="AI110" s="172"/>
      <c r="AJ110" s="172"/>
      <c r="AK110" s="172"/>
      <c r="AL110" s="172"/>
      <c r="AM110" s="172"/>
      <c r="AN110" s="172"/>
      <c r="AO110" s="172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5"/>
      <c r="BH110" s="174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  <c r="CH110" s="172"/>
      <c r="CI110" s="175"/>
    </row>
    <row r="111" spans="2:87" x14ac:dyDescent="0.2">
      <c r="B111" s="181" t="s">
        <v>390</v>
      </c>
      <c r="C111" s="187" t="s">
        <v>372</v>
      </c>
      <c r="D111" s="174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98"/>
      <c r="AF111" s="174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5"/>
      <c r="BH111" s="174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  <c r="CH111" s="172"/>
      <c r="CI111" s="175"/>
    </row>
    <row r="112" spans="2:87" x14ac:dyDescent="0.2">
      <c r="B112" s="181" t="s">
        <v>391</v>
      </c>
      <c r="C112" s="187" t="s">
        <v>372</v>
      </c>
      <c r="D112" s="174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98"/>
      <c r="AF112" s="174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5"/>
      <c r="BH112" s="174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  <c r="CH112" s="172"/>
      <c r="CI112" s="175"/>
    </row>
    <row r="113" spans="2:87" x14ac:dyDescent="0.2">
      <c r="B113" s="181" t="s">
        <v>393</v>
      </c>
      <c r="C113" s="187" t="s">
        <v>372</v>
      </c>
      <c r="D113" s="174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98"/>
      <c r="AF113" s="174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5"/>
      <c r="BH113" s="174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  <c r="CH113" s="172"/>
      <c r="CI113" s="175"/>
    </row>
    <row r="114" spans="2:87" x14ac:dyDescent="0.2">
      <c r="B114" s="181" t="s">
        <v>394</v>
      </c>
      <c r="C114" s="187" t="s">
        <v>372</v>
      </c>
      <c r="D114" s="174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98"/>
      <c r="AF114" s="174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5"/>
      <c r="BH114" s="174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  <c r="CH114" s="172"/>
      <c r="CI114" s="175"/>
    </row>
    <row r="115" spans="2:87" x14ac:dyDescent="0.2">
      <c r="B115" s="181" t="s">
        <v>404</v>
      </c>
      <c r="C115" s="187" t="s">
        <v>372</v>
      </c>
      <c r="D115" s="174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98"/>
      <c r="AF115" s="174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5"/>
      <c r="BH115" s="174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5"/>
    </row>
    <row r="116" spans="2:87" x14ac:dyDescent="0.2">
      <c r="B116" s="181" t="s">
        <v>405</v>
      </c>
      <c r="C116" s="187" t="s">
        <v>372</v>
      </c>
      <c r="D116" s="174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98"/>
      <c r="AF116" s="174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5"/>
      <c r="BH116" s="174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5"/>
    </row>
    <row r="117" spans="2:87" x14ac:dyDescent="0.2">
      <c r="B117" s="181" t="s">
        <v>396</v>
      </c>
      <c r="C117" s="187" t="s">
        <v>372</v>
      </c>
      <c r="D117" s="174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98"/>
      <c r="AF117" s="174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5"/>
      <c r="BH117" s="174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5"/>
    </row>
    <row r="118" spans="2:87" x14ac:dyDescent="0.2">
      <c r="B118" s="181" t="s">
        <v>397</v>
      </c>
      <c r="C118" s="187" t="s">
        <v>372</v>
      </c>
      <c r="D118" s="174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98"/>
      <c r="AF118" s="174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5"/>
      <c r="BH118" s="174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  <c r="CH118" s="172"/>
      <c r="CI118" s="175"/>
    </row>
    <row r="119" spans="2:87" x14ac:dyDescent="0.2">
      <c r="B119" s="181" t="s">
        <v>398</v>
      </c>
      <c r="C119" s="187" t="s">
        <v>372</v>
      </c>
      <c r="D119" s="174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98"/>
      <c r="AF119" s="174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5"/>
      <c r="BH119" s="174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5"/>
    </row>
    <row r="120" spans="2:87" x14ac:dyDescent="0.2">
      <c r="B120" s="182" t="s">
        <v>406</v>
      </c>
      <c r="C120" s="188" t="s">
        <v>372</v>
      </c>
      <c r="D120" s="174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5"/>
      <c r="AF120" s="174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5"/>
      <c r="BH120" s="174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  <c r="CH120" s="172"/>
      <c r="CI120" s="175"/>
    </row>
    <row r="121" spans="2:87" x14ac:dyDescent="0.2">
      <c r="B121" s="181" t="s">
        <v>407</v>
      </c>
      <c r="C121" s="187" t="s">
        <v>372</v>
      </c>
      <c r="D121" s="174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98"/>
      <c r="AF121" s="174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5"/>
      <c r="BH121" s="174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  <c r="CH121" s="172"/>
      <c r="CI121" s="175"/>
    </row>
    <row r="122" spans="2:87" x14ac:dyDescent="0.2">
      <c r="B122" s="181" t="s">
        <v>408</v>
      </c>
      <c r="C122" s="187" t="s">
        <v>372</v>
      </c>
      <c r="D122" s="174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98"/>
      <c r="AF122" s="174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5"/>
      <c r="BH122" s="174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  <c r="CH122" s="172"/>
      <c r="CI122" s="175"/>
    </row>
    <row r="123" spans="2:87" x14ac:dyDescent="0.2">
      <c r="B123" s="181" t="s">
        <v>391</v>
      </c>
      <c r="C123" s="187" t="s">
        <v>372</v>
      </c>
      <c r="D123" s="174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98"/>
      <c r="AF123" s="174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5"/>
      <c r="BH123" s="174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  <c r="CH123" s="172"/>
      <c r="CI123" s="175"/>
    </row>
    <row r="124" spans="2:87" x14ac:dyDescent="0.2">
      <c r="B124" s="181" t="s">
        <v>393</v>
      </c>
      <c r="C124" s="187" t="s">
        <v>372</v>
      </c>
      <c r="D124" s="174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98"/>
      <c r="AF124" s="174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5"/>
      <c r="BH124" s="174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175"/>
    </row>
    <row r="125" spans="2:87" x14ac:dyDescent="0.2">
      <c r="B125" s="181" t="s">
        <v>409</v>
      </c>
      <c r="C125" s="187" t="s">
        <v>372</v>
      </c>
      <c r="D125" s="174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98"/>
      <c r="AF125" s="174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5"/>
      <c r="BH125" s="174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175"/>
    </row>
    <row r="126" spans="2:87" x14ac:dyDescent="0.2">
      <c r="B126" s="181" t="s">
        <v>397</v>
      </c>
      <c r="C126" s="187" t="s">
        <v>372</v>
      </c>
      <c r="D126" s="174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98"/>
      <c r="AF126" s="174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5"/>
      <c r="BH126" s="174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  <c r="CH126" s="172"/>
      <c r="CI126" s="175"/>
    </row>
    <row r="127" spans="2:87" x14ac:dyDescent="0.2">
      <c r="B127" s="181" t="s">
        <v>398</v>
      </c>
      <c r="C127" s="187" t="s">
        <v>372</v>
      </c>
      <c r="D127" s="174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98"/>
      <c r="AF127" s="174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5"/>
      <c r="BH127" s="174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  <c r="CH127" s="172"/>
      <c r="CI127" s="175"/>
    </row>
    <row r="128" spans="2:87" s="204" customFormat="1" x14ac:dyDescent="0.2">
      <c r="B128" s="199" t="s">
        <v>410</v>
      </c>
      <c r="C128" s="200" t="s">
        <v>372</v>
      </c>
      <c r="D128" s="201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3"/>
      <c r="AF128" s="201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3"/>
      <c r="BH128" s="201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3"/>
    </row>
    <row r="129" spans="2:87" ht="60" customHeight="1" x14ac:dyDescent="0.2">
      <c r="B129" s="181" t="s">
        <v>411</v>
      </c>
      <c r="C129" s="187" t="s">
        <v>372</v>
      </c>
      <c r="D129" s="174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5"/>
      <c r="AF129" s="174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5"/>
      <c r="BH129" s="174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  <c r="CH129" s="172"/>
      <c r="CI129" s="198"/>
    </row>
    <row r="130" spans="2:87" x14ac:dyDescent="0.2">
      <c r="B130" s="182" t="s">
        <v>412</v>
      </c>
      <c r="C130" s="188" t="s">
        <v>413</v>
      </c>
      <c r="D130" s="174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5"/>
      <c r="AF130" s="174"/>
      <c r="AG130" s="172"/>
      <c r="AH130" s="172"/>
      <c r="AI130" s="172"/>
      <c r="AJ130" s="172"/>
      <c r="AK130" s="172"/>
      <c r="AL130" s="172"/>
      <c r="AM130" s="172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5"/>
      <c r="BH130" s="174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  <c r="CH130" s="172"/>
      <c r="CI130" s="175"/>
    </row>
    <row r="131" spans="2:87" ht="24" customHeight="1" x14ac:dyDescent="0.2">
      <c r="B131" s="181" t="s">
        <v>414</v>
      </c>
      <c r="C131" s="187" t="s">
        <v>413</v>
      </c>
      <c r="D131" s="174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98"/>
      <c r="AF131" s="174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5"/>
      <c r="BH131" s="174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  <c r="CH131" s="172"/>
      <c r="CI131" s="175"/>
    </row>
    <row r="132" spans="2:87" ht="26" x14ac:dyDescent="0.2">
      <c r="B132" s="181" t="s">
        <v>415</v>
      </c>
      <c r="C132" s="187" t="s">
        <v>413</v>
      </c>
      <c r="D132" s="174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98"/>
      <c r="AF132" s="174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5"/>
      <c r="BH132" s="174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  <c r="CH132" s="172"/>
      <c r="CI132" s="175"/>
    </row>
    <row r="133" spans="2:87" ht="39" x14ac:dyDescent="0.2">
      <c r="B133" s="181" t="s">
        <v>416</v>
      </c>
      <c r="C133" s="187" t="s">
        <v>413</v>
      </c>
      <c r="D133" s="174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98"/>
      <c r="AF133" s="174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5"/>
      <c r="BH133" s="174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5"/>
    </row>
    <row r="134" spans="2:87" ht="39" x14ac:dyDescent="0.2">
      <c r="B134" s="181" t="s">
        <v>417</v>
      </c>
      <c r="C134" s="187" t="s">
        <v>413</v>
      </c>
      <c r="D134" s="174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98"/>
      <c r="AF134" s="174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5"/>
      <c r="BH134" s="174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  <c r="CH134" s="172"/>
      <c r="CI134" s="175"/>
    </row>
    <row r="135" spans="2:87" ht="26" x14ac:dyDescent="0.2">
      <c r="B135" s="181" t="s">
        <v>418</v>
      </c>
      <c r="C135" s="187" t="s">
        <v>372</v>
      </c>
      <c r="D135" s="174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98"/>
      <c r="AF135" s="174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5"/>
      <c r="BH135" s="174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  <c r="CH135" s="172"/>
      <c r="CI135" s="175"/>
    </row>
    <row r="136" spans="2:87" x14ac:dyDescent="0.2">
      <c r="B136" s="182" t="s">
        <v>419</v>
      </c>
      <c r="C136" s="188" t="s">
        <v>304</v>
      </c>
      <c r="D136" s="174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5"/>
      <c r="AF136" s="174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95"/>
      <c r="BA136" s="195"/>
      <c r="BB136" s="195"/>
      <c r="BC136" s="195"/>
      <c r="BD136" s="195"/>
      <c r="BE136" s="195"/>
      <c r="BF136" s="195"/>
      <c r="BG136" s="198"/>
      <c r="BH136" s="174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  <c r="CH136" s="172"/>
      <c r="CI136" s="175"/>
    </row>
    <row r="137" spans="2:87" ht="26" x14ac:dyDescent="0.2">
      <c r="B137" s="181" t="s">
        <v>420</v>
      </c>
      <c r="C137" s="187" t="s">
        <v>421</v>
      </c>
      <c r="D137" s="174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5"/>
      <c r="AF137" s="174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95"/>
      <c r="BA137" s="195"/>
      <c r="BB137" s="195"/>
      <c r="BC137" s="195"/>
      <c r="BD137" s="195"/>
      <c r="BE137" s="195"/>
      <c r="BF137" s="195"/>
      <c r="BG137" s="198"/>
      <c r="BH137" s="174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  <c r="CH137" s="172"/>
      <c r="CI137" s="175"/>
    </row>
    <row r="138" spans="2:87" ht="26" x14ac:dyDescent="0.2">
      <c r="B138" s="181" t="s">
        <v>422</v>
      </c>
      <c r="C138" s="187" t="s">
        <v>421</v>
      </c>
      <c r="D138" s="174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5"/>
      <c r="AF138" s="174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95"/>
      <c r="BA138" s="195"/>
      <c r="BB138" s="195"/>
      <c r="BC138" s="195"/>
      <c r="BD138" s="195"/>
      <c r="BE138" s="195"/>
      <c r="BF138" s="195"/>
      <c r="BG138" s="198"/>
      <c r="BH138" s="174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  <c r="CH138" s="172"/>
      <c r="CI138" s="175"/>
    </row>
    <row r="139" spans="2:87" x14ac:dyDescent="0.2">
      <c r="B139" s="181" t="s">
        <v>423</v>
      </c>
      <c r="C139" s="187" t="s">
        <v>421</v>
      </c>
      <c r="D139" s="174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5"/>
      <c r="AF139" s="174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95"/>
      <c r="BA139" s="195"/>
      <c r="BB139" s="195"/>
      <c r="BC139" s="195"/>
      <c r="BD139" s="195"/>
      <c r="BE139" s="195"/>
      <c r="BF139" s="195"/>
      <c r="BG139" s="198"/>
      <c r="BH139" s="174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  <c r="CH139" s="172"/>
      <c r="CI139" s="175"/>
    </row>
    <row r="140" spans="2:87" x14ac:dyDescent="0.2">
      <c r="B140" s="181" t="s">
        <v>424</v>
      </c>
      <c r="C140" s="187" t="s">
        <v>421</v>
      </c>
      <c r="D140" s="174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5"/>
      <c r="AF140" s="174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95"/>
      <c r="BA140" s="195"/>
      <c r="BB140" s="195"/>
      <c r="BC140" s="195"/>
      <c r="BD140" s="195"/>
      <c r="BE140" s="195"/>
      <c r="BF140" s="195"/>
      <c r="BG140" s="198"/>
      <c r="BH140" s="174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  <c r="CH140" s="172"/>
      <c r="CI140" s="175"/>
    </row>
    <row r="141" spans="2:87" x14ac:dyDescent="0.2">
      <c r="B141" s="181" t="s">
        <v>425</v>
      </c>
      <c r="C141" s="187" t="s">
        <v>421</v>
      </c>
      <c r="D141" s="174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5"/>
      <c r="AF141" s="174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95"/>
      <c r="BA141" s="195"/>
      <c r="BB141" s="195"/>
      <c r="BC141" s="195"/>
      <c r="BD141" s="195"/>
      <c r="BE141" s="195"/>
      <c r="BF141" s="195"/>
      <c r="BG141" s="198"/>
      <c r="BH141" s="174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  <c r="CH141" s="172"/>
      <c r="CI141" s="175"/>
    </row>
    <row r="142" spans="2:87" x14ac:dyDescent="0.2">
      <c r="B142" s="181" t="s">
        <v>426</v>
      </c>
      <c r="C142" s="187" t="s">
        <v>421</v>
      </c>
      <c r="D142" s="174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5"/>
      <c r="AF142" s="174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95"/>
      <c r="BA142" s="195"/>
      <c r="BB142" s="195"/>
      <c r="BC142" s="195"/>
      <c r="BD142" s="195"/>
      <c r="BE142" s="195"/>
      <c r="BF142" s="195"/>
      <c r="BG142" s="198"/>
      <c r="BH142" s="174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5"/>
    </row>
    <row r="143" spans="2:87" x14ac:dyDescent="0.2">
      <c r="B143" s="182" t="s">
        <v>427</v>
      </c>
      <c r="C143" s="188" t="s">
        <v>372</v>
      </c>
      <c r="D143" s="174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5"/>
      <c r="AF143" s="174"/>
      <c r="AG143" s="172"/>
      <c r="AH143" s="172"/>
      <c r="AI143" s="172"/>
      <c r="AJ143" s="172"/>
      <c r="AK143" s="172"/>
      <c r="AL143" s="172"/>
      <c r="AM143" s="172"/>
      <c r="AN143" s="172"/>
      <c r="AO143" s="172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5"/>
      <c r="BH143" s="174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  <c r="CH143" s="172"/>
      <c r="CI143" s="175"/>
    </row>
    <row r="144" spans="2:87" ht="26" x14ac:dyDescent="0.2">
      <c r="B144" s="181" t="s">
        <v>428</v>
      </c>
      <c r="C144" s="187" t="s">
        <v>372</v>
      </c>
      <c r="D144" s="174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  <c r="U144" s="172"/>
      <c r="V144" s="172"/>
      <c r="W144" s="172"/>
      <c r="X144" s="172"/>
      <c r="Y144" s="172"/>
      <c r="Z144" s="172"/>
      <c r="AA144" s="172"/>
      <c r="AB144" s="172"/>
      <c r="AC144" s="172"/>
      <c r="AD144" s="172"/>
      <c r="AE144" s="175"/>
      <c r="AF144" s="174"/>
      <c r="AG144" s="172"/>
      <c r="AH144" s="172"/>
      <c r="AI144" s="172"/>
      <c r="AJ144" s="172"/>
      <c r="AK144" s="172"/>
      <c r="AL144" s="172"/>
      <c r="AM144" s="172"/>
      <c r="AN144" s="172"/>
      <c r="AO144" s="172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98"/>
      <c r="BH144" s="174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  <c r="CH144" s="172"/>
      <c r="CI144" s="175"/>
    </row>
    <row r="145" spans="2:87" ht="26" x14ac:dyDescent="0.2">
      <c r="B145" s="181" t="s">
        <v>429</v>
      </c>
      <c r="C145" s="187" t="s">
        <v>372</v>
      </c>
      <c r="D145" s="174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2"/>
      <c r="AD145" s="172"/>
      <c r="AE145" s="175"/>
      <c r="AF145" s="174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98"/>
      <c r="BH145" s="174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  <c r="CH145" s="172"/>
      <c r="CI145" s="175"/>
    </row>
    <row r="146" spans="2:87" x14ac:dyDescent="0.2">
      <c r="B146" s="181" t="s">
        <v>423</v>
      </c>
      <c r="C146" s="187" t="s">
        <v>372</v>
      </c>
      <c r="D146" s="174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5"/>
      <c r="AF146" s="174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98"/>
      <c r="BH146" s="174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  <c r="CH146" s="172"/>
      <c r="CI146" s="175"/>
    </row>
    <row r="147" spans="2:87" x14ac:dyDescent="0.2">
      <c r="B147" s="181" t="s">
        <v>424</v>
      </c>
      <c r="C147" s="187" t="s">
        <v>372</v>
      </c>
      <c r="D147" s="174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5"/>
      <c r="AF147" s="174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98"/>
      <c r="BH147" s="174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  <c r="CH147" s="172"/>
      <c r="CI147" s="175"/>
    </row>
    <row r="148" spans="2:87" x14ac:dyDescent="0.2">
      <c r="B148" s="181" t="s">
        <v>425</v>
      </c>
      <c r="C148" s="187" t="s">
        <v>372</v>
      </c>
      <c r="D148" s="174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5"/>
      <c r="AF148" s="174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98"/>
      <c r="BH148" s="174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  <c r="CH148" s="172"/>
      <c r="CI148" s="175"/>
    </row>
    <row r="149" spans="2:87" x14ac:dyDescent="0.2">
      <c r="B149" s="181" t="s">
        <v>426</v>
      </c>
      <c r="C149" s="187" t="s">
        <v>372</v>
      </c>
      <c r="D149" s="174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5"/>
      <c r="AF149" s="174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98"/>
      <c r="BH149" s="174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  <c r="CH149" s="172"/>
      <c r="CI149" s="175"/>
    </row>
    <row r="150" spans="2:87" x14ac:dyDescent="0.2">
      <c r="B150" s="182" t="s">
        <v>430</v>
      </c>
      <c r="C150" s="188" t="s">
        <v>372</v>
      </c>
      <c r="D150" s="174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5"/>
      <c r="AF150" s="174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5"/>
      <c r="BH150" s="174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  <c r="CH150" s="172"/>
      <c r="CI150" s="175"/>
    </row>
    <row r="151" spans="2:87" ht="26" x14ac:dyDescent="0.2">
      <c r="B151" s="181" t="s">
        <v>431</v>
      </c>
      <c r="C151" s="187" t="s">
        <v>372</v>
      </c>
      <c r="D151" s="174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5"/>
      <c r="AF151" s="174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98"/>
      <c r="BH151" s="174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  <c r="CH151" s="172"/>
      <c r="CI151" s="175"/>
    </row>
    <row r="152" spans="2:87" x14ac:dyDescent="0.2">
      <c r="B152" s="181" t="s">
        <v>432</v>
      </c>
      <c r="C152" s="187" t="s">
        <v>372</v>
      </c>
      <c r="D152" s="174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5"/>
      <c r="AF152" s="174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98"/>
      <c r="BH152" s="174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  <c r="CH152" s="172"/>
      <c r="CI152" s="175"/>
    </row>
    <row r="153" spans="2:87" ht="42" customHeight="1" x14ac:dyDescent="0.2">
      <c r="B153" s="182" t="s">
        <v>221</v>
      </c>
      <c r="C153" s="188" t="s">
        <v>290</v>
      </c>
      <c r="D153" s="174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5"/>
      <c r="AF153" s="174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5"/>
      <c r="BH153" s="174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95"/>
      <c r="BV153" s="195"/>
      <c r="BW153" s="195"/>
      <c r="BX153" s="195"/>
      <c r="BY153" s="195"/>
      <c r="BZ153" s="195"/>
      <c r="CA153" s="195"/>
      <c r="CB153" s="195"/>
      <c r="CC153" s="195"/>
      <c r="CD153" s="195"/>
      <c r="CE153" s="195"/>
      <c r="CF153" s="195"/>
      <c r="CG153" s="195"/>
      <c r="CH153" s="195"/>
      <c r="CI153" s="198"/>
    </row>
    <row r="154" spans="2:87" x14ac:dyDescent="0.2">
      <c r="B154" s="181" t="s">
        <v>433</v>
      </c>
      <c r="C154" s="187" t="s">
        <v>290</v>
      </c>
      <c r="D154" s="174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5"/>
      <c r="AF154" s="174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5"/>
      <c r="BH154" s="174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95"/>
      <c r="BV154" s="195"/>
      <c r="BW154" s="195"/>
      <c r="BX154" s="195"/>
      <c r="BY154" s="195"/>
      <c r="BZ154" s="195"/>
      <c r="CA154" s="195"/>
      <c r="CB154" s="195"/>
      <c r="CC154" s="195"/>
      <c r="CD154" s="195"/>
      <c r="CE154" s="195"/>
      <c r="CF154" s="195"/>
      <c r="CG154" s="195"/>
      <c r="CH154" s="195"/>
      <c r="CI154" s="198"/>
    </row>
    <row r="155" spans="2:87" x14ac:dyDescent="0.2">
      <c r="B155" s="181" t="s">
        <v>434</v>
      </c>
      <c r="C155" s="187" t="s">
        <v>290</v>
      </c>
      <c r="D155" s="174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5"/>
      <c r="AF155" s="174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5"/>
      <c r="BH155" s="174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95"/>
      <c r="BV155" s="195"/>
      <c r="BW155" s="195"/>
      <c r="BX155" s="195"/>
      <c r="BY155" s="195"/>
      <c r="BZ155" s="195"/>
      <c r="CA155" s="195"/>
      <c r="CB155" s="195"/>
      <c r="CC155" s="195"/>
      <c r="CD155" s="195"/>
      <c r="CE155" s="195"/>
      <c r="CF155" s="195"/>
      <c r="CG155" s="195"/>
      <c r="CH155" s="195"/>
      <c r="CI155" s="198"/>
    </row>
    <row r="156" spans="2:87" x14ac:dyDescent="0.2">
      <c r="B156" s="181" t="s">
        <v>435</v>
      </c>
      <c r="C156" s="187" t="s">
        <v>290</v>
      </c>
      <c r="D156" s="174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5"/>
      <c r="AF156" s="174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5"/>
      <c r="BH156" s="174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95"/>
      <c r="BV156" s="195"/>
      <c r="BW156" s="195"/>
      <c r="BX156" s="195"/>
      <c r="BY156" s="195"/>
      <c r="BZ156" s="195"/>
      <c r="CA156" s="195"/>
      <c r="CB156" s="195"/>
      <c r="CC156" s="195"/>
      <c r="CD156" s="195"/>
      <c r="CE156" s="195"/>
      <c r="CF156" s="195"/>
      <c r="CG156" s="195"/>
      <c r="CH156" s="195"/>
      <c r="CI156" s="198"/>
    </row>
    <row r="157" spans="2:87" x14ac:dyDescent="0.2">
      <c r="B157" s="181" t="s">
        <v>436</v>
      </c>
      <c r="C157" s="187" t="s">
        <v>290</v>
      </c>
      <c r="D157" s="174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5"/>
      <c r="AF157" s="174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5"/>
      <c r="BH157" s="174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95"/>
      <c r="BV157" s="195"/>
      <c r="BW157" s="195"/>
      <c r="BX157" s="195"/>
      <c r="BY157" s="195"/>
      <c r="BZ157" s="195"/>
      <c r="CA157" s="195"/>
      <c r="CB157" s="195"/>
      <c r="CC157" s="195"/>
      <c r="CD157" s="195"/>
      <c r="CE157" s="195"/>
      <c r="CF157" s="195"/>
      <c r="CG157" s="195"/>
      <c r="CH157" s="195"/>
      <c r="CI157" s="198"/>
    </row>
    <row r="158" spans="2:87" x14ac:dyDescent="0.2">
      <c r="B158" s="181" t="s">
        <v>437</v>
      </c>
      <c r="C158" s="187" t="s">
        <v>290</v>
      </c>
      <c r="D158" s="174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5"/>
      <c r="AF158" s="174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5"/>
      <c r="BH158" s="174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95"/>
      <c r="BV158" s="195"/>
      <c r="BW158" s="195"/>
      <c r="BX158" s="195"/>
      <c r="BY158" s="195"/>
      <c r="BZ158" s="195"/>
      <c r="CA158" s="195"/>
      <c r="CB158" s="195"/>
      <c r="CC158" s="195"/>
      <c r="CD158" s="195"/>
      <c r="CE158" s="195"/>
      <c r="CF158" s="195"/>
      <c r="CG158" s="195"/>
      <c r="CH158" s="195"/>
      <c r="CI158" s="198"/>
    </row>
    <row r="159" spans="2:87" x14ac:dyDescent="0.2">
      <c r="B159" s="181" t="s">
        <v>438</v>
      </c>
      <c r="C159" s="187" t="s">
        <v>290</v>
      </c>
      <c r="D159" s="174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  <c r="U159" s="172"/>
      <c r="V159" s="172"/>
      <c r="W159" s="172"/>
      <c r="X159" s="172"/>
      <c r="Y159" s="172"/>
      <c r="Z159" s="172"/>
      <c r="AA159" s="172"/>
      <c r="AB159" s="172"/>
      <c r="AC159" s="172"/>
      <c r="AD159" s="172"/>
      <c r="AE159" s="175"/>
      <c r="AF159" s="174"/>
      <c r="AG159" s="172"/>
      <c r="AH159" s="172"/>
      <c r="AI159" s="172"/>
      <c r="AJ159" s="172"/>
      <c r="AK159" s="172"/>
      <c r="AL159" s="172"/>
      <c r="AM159" s="172"/>
      <c r="AN159" s="172"/>
      <c r="AO159" s="172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5"/>
      <c r="BH159" s="174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95"/>
      <c r="BV159" s="195"/>
      <c r="BW159" s="195"/>
      <c r="BX159" s="195"/>
      <c r="BY159" s="195"/>
      <c r="BZ159" s="195"/>
      <c r="CA159" s="195"/>
      <c r="CB159" s="195"/>
      <c r="CC159" s="195"/>
      <c r="CD159" s="195"/>
      <c r="CE159" s="195"/>
      <c r="CF159" s="195"/>
      <c r="CG159" s="195"/>
      <c r="CH159" s="195"/>
      <c r="CI159" s="198"/>
    </row>
    <row r="160" spans="2:87" x14ac:dyDescent="0.2">
      <c r="B160" s="181" t="s">
        <v>439</v>
      </c>
      <c r="C160" s="187" t="s">
        <v>290</v>
      </c>
      <c r="D160" s="174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5"/>
      <c r="AF160" s="174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5"/>
      <c r="BH160" s="174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95"/>
      <c r="BV160" s="195"/>
      <c r="BW160" s="195"/>
      <c r="BX160" s="195"/>
      <c r="BY160" s="195"/>
      <c r="BZ160" s="195"/>
      <c r="CA160" s="195"/>
      <c r="CB160" s="195"/>
      <c r="CC160" s="195"/>
      <c r="CD160" s="195"/>
      <c r="CE160" s="195"/>
      <c r="CF160" s="195"/>
      <c r="CG160" s="195"/>
      <c r="CH160" s="195"/>
      <c r="CI160" s="198"/>
    </row>
    <row r="161" spans="2:87" x14ac:dyDescent="0.2">
      <c r="B161" s="181" t="s">
        <v>440</v>
      </c>
      <c r="C161" s="187" t="s">
        <v>290</v>
      </c>
      <c r="D161" s="174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5"/>
      <c r="AF161" s="174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5"/>
      <c r="BH161" s="174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95"/>
      <c r="BV161" s="195"/>
      <c r="BW161" s="195"/>
      <c r="BX161" s="195"/>
      <c r="BY161" s="195"/>
      <c r="BZ161" s="195"/>
      <c r="CA161" s="195"/>
      <c r="CB161" s="195"/>
      <c r="CC161" s="195"/>
      <c r="CD161" s="195"/>
      <c r="CE161" s="195"/>
      <c r="CF161" s="195"/>
      <c r="CG161" s="195"/>
      <c r="CH161" s="195"/>
      <c r="CI161" s="198"/>
    </row>
    <row r="162" spans="2:87" x14ac:dyDescent="0.2">
      <c r="B162" s="181" t="s">
        <v>441</v>
      </c>
      <c r="C162" s="187" t="s">
        <v>290</v>
      </c>
      <c r="D162" s="174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5"/>
      <c r="AF162" s="174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5"/>
      <c r="BH162" s="174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95"/>
      <c r="BV162" s="195"/>
      <c r="BW162" s="195"/>
      <c r="BX162" s="195"/>
      <c r="BY162" s="195"/>
      <c r="BZ162" s="195"/>
      <c r="CA162" s="195"/>
      <c r="CB162" s="195"/>
      <c r="CC162" s="195"/>
      <c r="CD162" s="195"/>
      <c r="CE162" s="195"/>
      <c r="CF162" s="195"/>
      <c r="CG162" s="195"/>
      <c r="CH162" s="195"/>
      <c r="CI162" s="198"/>
    </row>
    <row r="163" spans="2:87" x14ac:dyDescent="0.2">
      <c r="B163" s="181" t="s">
        <v>442</v>
      </c>
      <c r="C163" s="187" t="s">
        <v>290</v>
      </c>
      <c r="D163" s="174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5"/>
      <c r="AF163" s="174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5"/>
      <c r="BH163" s="174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95"/>
      <c r="BV163" s="195"/>
      <c r="BW163" s="195"/>
      <c r="BX163" s="195"/>
      <c r="BY163" s="195"/>
      <c r="BZ163" s="195"/>
      <c r="CA163" s="195"/>
      <c r="CB163" s="195"/>
      <c r="CC163" s="195"/>
      <c r="CD163" s="195"/>
      <c r="CE163" s="195"/>
      <c r="CF163" s="195"/>
      <c r="CG163" s="195"/>
      <c r="CH163" s="195"/>
      <c r="CI163" s="198"/>
    </row>
    <row r="164" spans="2:87" x14ac:dyDescent="0.2">
      <c r="B164" s="181" t="s">
        <v>443</v>
      </c>
      <c r="C164" s="187" t="s">
        <v>290</v>
      </c>
      <c r="D164" s="174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5"/>
      <c r="AF164" s="174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5"/>
      <c r="BH164" s="174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95"/>
      <c r="BV164" s="195"/>
      <c r="BW164" s="195"/>
      <c r="BX164" s="195"/>
      <c r="BY164" s="195"/>
      <c r="BZ164" s="195"/>
      <c r="CA164" s="195"/>
      <c r="CB164" s="195"/>
      <c r="CC164" s="195"/>
      <c r="CD164" s="195"/>
      <c r="CE164" s="195"/>
      <c r="CF164" s="195"/>
      <c r="CG164" s="195"/>
      <c r="CH164" s="195"/>
      <c r="CI164" s="198"/>
    </row>
    <row r="165" spans="2:87" x14ac:dyDescent="0.2">
      <c r="B165" s="181" t="s">
        <v>444</v>
      </c>
      <c r="C165" s="187" t="s">
        <v>290</v>
      </c>
      <c r="D165" s="174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5"/>
      <c r="AF165" s="174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5"/>
      <c r="BH165" s="174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95"/>
      <c r="BV165" s="195"/>
      <c r="BW165" s="195"/>
      <c r="BX165" s="195"/>
      <c r="BY165" s="195"/>
      <c r="BZ165" s="195"/>
      <c r="CA165" s="195"/>
      <c r="CB165" s="195"/>
      <c r="CC165" s="195"/>
      <c r="CD165" s="195"/>
      <c r="CE165" s="195"/>
      <c r="CF165" s="195"/>
      <c r="CG165" s="195"/>
      <c r="CH165" s="195"/>
      <c r="CI165" s="198"/>
    </row>
    <row r="166" spans="2:87" x14ac:dyDescent="0.2">
      <c r="B166" s="181" t="s">
        <v>445</v>
      </c>
      <c r="C166" s="187" t="s">
        <v>290</v>
      </c>
      <c r="D166" s="174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5"/>
      <c r="AF166" s="174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5"/>
      <c r="BH166" s="174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95"/>
      <c r="BV166" s="195"/>
      <c r="BW166" s="195"/>
      <c r="BX166" s="195"/>
      <c r="BY166" s="195"/>
      <c r="BZ166" s="195"/>
      <c r="CA166" s="195"/>
      <c r="CB166" s="195"/>
      <c r="CC166" s="195"/>
      <c r="CD166" s="195"/>
      <c r="CE166" s="195"/>
      <c r="CF166" s="195"/>
      <c r="CG166" s="195"/>
      <c r="CH166" s="195"/>
      <c r="CI166" s="198"/>
    </row>
    <row r="167" spans="2:87" x14ac:dyDescent="0.2">
      <c r="B167" s="181" t="s">
        <v>446</v>
      </c>
      <c r="C167" s="187" t="s">
        <v>290</v>
      </c>
      <c r="D167" s="174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5"/>
      <c r="AF167" s="174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5"/>
      <c r="BH167" s="174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95"/>
      <c r="BV167" s="195"/>
      <c r="BW167" s="195"/>
      <c r="BX167" s="195"/>
      <c r="BY167" s="195"/>
      <c r="BZ167" s="195"/>
      <c r="CA167" s="195"/>
      <c r="CB167" s="195"/>
      <c r="CC167" s="195"/>
      <c r="CD167" s="195"/>
      <c r="CE167" s="195"/>
      <c r="CF167" s="195"/>
      <c r="CG167" s="195"/>
      <c r="CH167" s="195"/>
      <c r="CI167" s="198"/>
    </row>
    <row r="168" spans="2:87" x14ac:dyDescent="0.2">
      <c r="B168" s="181" t="s">
        <v>447</v>
      </c>
      <c r="C168" s="187" t="s">
        <v>290</v>
      </c>
      <c r="D168" s="174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5"/>
      <c r="AF168" s="174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5"/>
      <c r="BH168" s="174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95"/>
      <c r="BV168" s="195"/>
      <c r="BW168" s="195"/>
      <c r="BX168" s="195"/>
      <c r="BY168" s="195"/>
      <c r="BZ168" s="195"/>
      <c r="CA168" s="195"/>
      <c r="CB168" s="195"/>
      <c r="CC168" s="195"/>
      <c r="CD168" s="195"/>
      <c r="CE168" s="195"/>
      <c r="CF168" s="195"/>
      <c r="CG168" s="195"/>
      <c r="CH168" s="195"/>
      <c r="CI168" s="198"/>
    </row>
    <row r="169" spans="2:87" x14ac:dyDescent="0.2">
      <c r="B169" s="181" t="s">
        <v>448</v>
      </c>
      <c r="C169" s="187" t="s">
        <v>290</v>
      </c>
      <c r="D169" s="174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5"/>
      <c r="AF169" s="174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5"/>
      <c r="BH169" s="174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95"/>
      <c r="BV169" s="195"/>
      <c r="BW169" s="195"/>
      <c r="BX169" s="195"/>
      <c r="BY169" s="195"/>
      <c r="BZ169" s="195"/>
      <c r="CA169" s="195"/>
      <c r="CB169" s="195"/>
      <c r="CC169" s="195"/>
      <c r="CD169" s="195"/>
      <c r="CE169" s="195"/>
      <c r="CF169" s="195"/>
      <c r="CG169" s="195"/>
      <c r="CH169" s="195"/>
      <c r="CI169" s="198"/>
    </row>
    <row r="170" spans="2:87" ht="16" thickBot="1" x14ac:dyDescent="0.25">
      <c r="B170" s="183" t="s">
        <v>449</v>
      </c>
      <c r="C170" s="189" t="s">
        <v>450</v>
      </c>
      <c r="D170" s="176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8"/>
      <c r="AF170" s="176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  <c r="AQ170" s="177"/>
      <c r="AR170" s="177"/>
      <c r="AS170" s="177"/>
      <c r="AT170" s="177"/>
      <c r="AU170" s="177"/>
      <c r="AV170" s="177"/>
      <c r="AW170" s="177"/>
      <c r="AX170" s="177"/>
      <c r="AY170" s="177"/>
      <c r="AZ170" s="177"/>
      <c r="BA170" s="177"/>
      <c r="BB170" s="177"/>
      <c r="BC170" s="177"/>
      <c r="BD170" s="177"/>
      <c r="BE170" s="177"/>
      <c r="BF170" s="177"/>
      <c r="BG170" s="178"/>
      <c r="BH170" s="176"/>
      <c r="BI170" s="177"/>
      <c r="BJ170" s="177"/>
      <c r="BK170" s="177"/>
      <c r="BL170" s="177"/>
      <c r="BM170" s="177"/>
      <c r="BN170" s="177"/>
      <c r="BO170" s="177"/>
      <c r="BP170" s="177"/>
      <c r="BQ170" s="177"/>
      <c r="BR170" s="177"/>
      <c r="BS170" s="177"/>
      <c r="BT170" s="177"/>
      <c r="BU170" s="195"/>
      <c r="BV170" s="195"/>
      <c r="BW170" s="195"/>
      <c r="BX170" s="195"/>
      <c r="BY170" s="195"/>
      <c r="BZ170" s="195"/>
      <c r="CA170" s="195"/>
      <c r="CB170" s="195"/>
      <c r="CC170" s="195"/>
      <c r="CD170" s="195"/>
      <c r="CE170" s="195"/>
      <c r="CF170" s="195"/>
      <c r="CG170" s="195"/>
      <c r="CH170" s="195"/>
      <c r="CI170" s="198"/>
    </row>
  </sheetData>
  <mergeCells count="148">
    <mergeCell ref="BP63:BT63"/>
    <mergeCell ref="BR64:BT64"/>
    <mergeCell ref="L63:P63"/>
    <mergeCell ref="N64:P64"/>
    <mergeCell ref="AN59:AR59"/>
    <mergeCell ref="AN60:AR60"/>
    <mergeCell ref="AP61:AR61"/>
    <mergeCell ref="AN62:AR62"/>
    <mergeCell ref="AN63:AR63"/>
    <mergeCell ref="AP64:AR64"/>
    <mergeCell ref="L59:P59"/>
    <mergeCell ref="L60:P60"/>
    <mergeCell ref="N61:P61"/>
    <mergeCell ref="L62:P62"/>
    <mergeCell ref="BP59:BT59"/>
    <mergeCell ref="BP60:BT60"/>
    <mergeCell ref="BR61:BT61"/>
    <mergeCell ref="BP62:BT62"/>
    <mergeCell ref="L54:N54"/>
    <mergeCell ref="AO52:AQ52"/>
    <mergeCell ref="AN53:AP53"/>
    <mergeCell ref="AN54:AP54"/>
    <mergeCell ref="BQ48:BU48"/>
    <mergeCell ref="BT49:BV49"/>
    <mergeCell ref="BV50:BZ50"/>
    <mergeCell ref="M52:O52"/>
    <mergeCell ref="L53:N53"/>
    <mergeCell ref="BQ52:BS52"/>
    <mergeCell ref="BP53:BR53"/>
    <mergeCell ref="BP54:BR54"/>
    <mergeCell ref="BO43:BS43"/>
    <mergeCell ref="BO44:BQ44"/>
    <mergeCell ref="BO45:BQ45"/>
    <mergeCell ref="BO46:BS46"/>
    <mergeCell ref="BO47:BR47"/>
    <mergeCell ref="M48:Q48"/>
    <mergeCell ref="P49:R49"/>
    <mergeCell ref="R50:V50"/>
    <mergeCell ref="AM43:AQ43"/>
    <mergeCell ref="AM44:AO44"/>
    <mergeCell ref="AM45:AO45"/>
    <mergeCell ref="AM46:AQ46"/>
    <mergeCell ref="AM47:AP47"/>
    <mergeCell ref="AO48:AS48"/>
    <mergeCell ref="AR49:AT49"/>
    <mergeCell ref="AT50:AX50"/>
    <mergeCell ref="K43:O43"/>
    <mergeCell ref="K44:M44"/>
    <mergeCell ref="K45:M45"/>
    <mergeCell ref="K46:O46"/>
    <mergeCell ref="K47:N47"/>
    <mergeCell ref="O41:Q41"/>
    <mergeCell ref="AQ38:AX38"/>
    <mergeCell ref="AQ41:AS41"/>
    <mergeCell ref="BS38:BZ38"/>
    <mergeCell ref="BS41:BU41"/>
    <mergeCell ref="Q36:S36"/>
    <mergeCell ref="AS36:AU36"/>
    <mergeCell ref="BU36:BW36"/>
    <mergeCell ref="O38:V38"/>
    <mergeCell ref="Q31:Z31"/>
    <mergeCell ref="Q32:Z32"/>
    <mergeCell ref="V33:AE33"/>
    <mergeCell ref="V34:AE34"/>
    <mergeCell ref="AS31:BB31"/>
    <mergeCell ref="AS32:BB32"/>
    <mergeCell ref="AX33:BG33"/>
    <mergeCell ref="AX34:BG34"/>
    <mergeCell ref="BU31:CD31"/>
    <mergeCell ref="BU32:CD32"/>
    <mergeCell ref="BZ33:CI33"/>
    <mergeCell ref="BZ34:CI34"/>
    <mergeCell ref="BX26:CE26"/>
    <mergeCell ref="L28:P28"/>
    <mergeCell ref="L29:P29"/>
    <mergeCell ref="AN28:AR28"/>
    <mergeCell ref="AN29:AR29"/>
    <mergeCell ref="BP28:BT28"/>
    <mergeCell ref="BP29:BT29"/>
    <mergeCell ref="BT21:BU21"/>
    <mergeCell ref="BU22:BY22"/>
    <mergeCell ref="BU23:BY23"/>
    <mergeCell ref="BX24:CE24"/>
    <mergeCell ref="CA25:CE25"/>
    <mergeCell ref="T26:AA26"/>
    <mergeCell ref="AR21:AS21"/>
    <mergeCell ref="AS22:AW22"/>
    <mergeCell ref="AS23:AW23"/>
    <mergeCell ref="AV24:BC24"/>
    <mergeCell ref="AY25:BC25"/>
    <mergeCell ref="AV26:BC26"/>
    <mergeCell ref="P21:Q21"/>
    <mergeCell ref="Q22:U22"/>
    <mergeCell ref="Q23:U23"/>
    <mergeCell ref="T24:AA24"/>
    <mergeCell ref="W25:AA25"/>
    <mergeCell ref="O14:R14"/>
    <mergeCell ref="K15:N15"/>
    <mergeCell ref="M16:N16"/>
    <mergeCell ref="N18:P18"/>
    <mergeCell ref="I19:M19"/>
    <mergeCell ref="D12:AE12"/>
    <mergeCell ref="AF12:BG12"/>
    <mergeCell ref="BH12:CI12"/>
    <mergeCell ref="D13:AE13"/>
    <mergeCell ref="AF13:BG13"/>
    <mergeCell ref="BH13:CI13"/>
    <mergeCell ref="AM15:AP15"/>
    <mergeCell ref="AO16:AP16"/>
    <mergeCell ref="AP18:AR18"/>
    <mergeCell ref="AK19:AO19"/>
    <mergeCell ref="BS14:BV14"/>
    <mergeCell ref="BO15:BR15"/>
    <mergeCell ref="BQ16:BR16"/>
    <mergeCell ref="BR18:BT18"/>
    <mergeCell ref="BM19:BQ19"/>
    <mergeCell ref="AQ14:AT14"/>
    <mergeCell ref="G10:P10"/>
    <mergeCell ref="AI10:AR10"/>
    <mergeCell ref="BK10:BT10"/>
    <mergeCell ref="L11:P11"/>
    <mergeCell ref="AN11:AR11"/>
    <mergeCell ref="BP11:BT11"/>
    <mergeCell ref="G8:P8"/>
    <mergeCell ref="AI8:AR8"/>
    <mergeCell ref="BK8:BT8"/>
    <mergeCell ref="I9:P9"/>
    <mergeCell ref="AK9:AR9"/>
    <mergeCell ref="BM9:BT9"/>
    <mergeCell ref="B1:CI2"/>
    <mergeCell ref="D5:H5"/>
    <mergeCell ref="G6:H6"/>
    <mergeCell ref="AF5:AJ5"/>
    <mergeCell ref="AI6:AJ6"/>
    <mergeCell ref="BH5:BL5"/>
    <mergeCell ref="BK6:BL6"/>
    <mergeCell ref="AM3:AS3"/>
    <mergeCell ref="AT3:AZ3"/>
    <mergeCell ref="BA3:BG3"/>
    <mergeCell ref="D3:J3"/>
    <mergeCell ref="K3:Q3"/>
    <mergeCell ref="R3:X3"/>
    <mergeCell ref="Y3:AE3"/>
    <mergeCell ref="AF3:AL3"/>
    <mergeCell ref="BO3:BU3"/>
    <mergeCell ref="BV3:CB3"/>
    <mergeCell ref="CC3:CI3"/>
    <mergeCell ref="BH3:BN3"/>
  </mergeCells>
  <phoneticPr fontId="6" type="noConversion"/>
  <pageMargins left="0.25" right="0.25" top="0.75" bottom="0.75" header="0.3" footer="0.3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RESUMÉN</vt:lpstr>
      <vt:lpstr>COT 1</vt:lpstr>
      <vt:lpstr>COT 2</vt:lpstr>
      <vt:lpstr>COT 3</vt:lpstr>
      <vt:lpstr>CRONOGRAMA </vt:lpstr>
      <vt:lpstr>'COT 1'!Área_de_impresión</vt:lpstr>
      <vt:lpstr>'COT 2'!Área_de_impresión</vt:lpstr>
      <vt:lpstr>'COT 3'!Área_de_impresión</vt:lpstr>
      <vt:lpstr>'CRONOGRAMA '!Área_de_impresión</vt:lpstr>
      <vt:lpstr>'CRONOGRAMA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2023-08-11T23:55:04Z</cp:lastPrinted>
  <dcterms:created xsi:type="dcterms:W3CDTF">2021-04-21T21:42:14Z</dcterms:created>
  <dcterms:modified xsi:type="dcterms:W3CDTF">2023-08-11T23:57:17Z</dcterms:modified>
</cp:coreProperties>
</file>